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omments61.xml" ContentType="application/vnd.openxmlformats-officedocument.spreadsheetml.comments+xml"/>
  <Override PartName="/xl/comments62.xml" ContentType="application/vnd.openxmlformats-officedocument.spreadsheetml.comments+xml"/>
  <Override PartName="/xl/comments63.xml" ContentType="application/vnd.openxmlformats-officedocument.spreadsheetml.comments+xml"/>
  <Override PartName="/xl/comments64.xml" ContentType="application/vnd.openxmlformats-officedocument.spreadsheetml.comments+xml"/>
  <Override PartName="/xl/comments65.xml" ContentType="application/vnd.openxmlformats-officedocument.spreadsheetml.comments+xml"/>
  <Override PartName="/xl/comments66.xml" ContentType="application/vnd.openxmlformats-officedocument.spreadsheetml.comments+xml"/>
  <Override PartName="/xl/comments67.xml" ContentType="application/vnd.openxmlformats-officedocument.spreadsheetml.comments+xml"/>
  <Override PartName="/xl/comments68.xml" ContentType="application/vnd.openxmlformats-officedocument.spreadsheetml.comments+xml"/>
  <Override PartName="/xl/comments69.xml" ContentType="application/vnd.openxmlformats-officedocument.spreadsheetml.comments+xml"/>
  <Override PartName="/xl/comments70.xml" ContentType="application/vnd.openxmlformats-officedocument.spreadsheetml.comments+xml"/>
  <Override PartName="/xl/comments71.xml" ContentType="application/vnd.openxmlformats-officedocument.spreadsheetml.comments+xml"/>
  <Override PartName="/xl/comments72.xml" ContentType="application/vnd.openxmlformats-officedocument.spreadsheetml.comments+xml"/>
  <Override PartName="/xl/comments73.xml" ContentType="application/vnd.openxmlformats-officedocument.spreadsheetml.comments+xml"/>
  <Override PartName="/xl/comments74.xml" ContentType="application/vnd.openxmlformats-officedocument.spreadsheetml.comments+xml"/>
  <Override PartName="/xl/comments75.xml" ContentType="application/vnd.openxmlformats-officedocument.spreadsheetml.comments+xml"/>
  <Override PartName="/xl/comments76.xml" ContentType="application/vnd.openxmlformats-officedocument.spreadsheetml.comments+xml"/>
  <Override PartName="/xl/comments77.xml" ContentType="application/vnd.openxmlformats-officedocument.spreadsheetml.comments+xml"/>
  <Override PartName="/xl/comments78.xml" ContentType="application/vnd.openxmlformats-officedocument.spreadsheetml.comments+xml"/>
  <Override PartName="/xl/comments79.xml" ContentType="application/vnd.openxmlformats-officedocument.spreadsheetml.comments+xml"/>
  <Override PartName="/xl/comments80.xml" ContentType="application/vnd.openxmlformats-officedocument.spreadsheetml.comments+xml"/>
  <Override PartName="/xl/comments81.xml" ContentType="application/vnd.openxmlformats-officedocument.spreadsheetml.comments+xml"/>
  <Override PartName="/xl/comments82.xml" ContentType="application/vnd.openxmlformats-officedocument.spreadsheetml.comments+xml"/>
  <Override PartName="/xl/comments83.xml" ContentType="application/vnd.openxmlformats-officedocument.spreadsheetml.comments+xml"/>
  <Override PartName="/xl/comments84.xml" ContentType="application/vnd.openxmlformats-officedocument.spreadsheetml.comments+xml"/>
  <Override PartName="/xl/comments85.xml" ContentType="application/vnd.openxmlformats-officedocument.spreadsheetml.comments+xml"/>
  <Override PartName="/xl/comments86.xml" ContentType="application/vnd.openxmlformats-officedocument.spreadsheetml.comments+xml"/>
  <Override PartName="/xl/comments87.xml" ContentType="application/vnd.openxmlformats-officedocument.spreadsheetml.comments+xml"/>
  <Override PartName="/xl/comments88.xml" ContentType="application/vnd.openxmlformats-officedocument.spreadsheetml.comments+xml"/>
  <Override PartName="/xl/comments89.xml" ContentType="application/vnd.openxmlformats-officedocument.spreadsheetml.comments+xml"/>
  <Override PartName="/xl/comments90.xml" ContentType="application/vnd.openxmlformats-officedocument.spreadsheetml.comments+xml"/>
  <Override PartName="/xl/comments91.xml" ContentType="application/vnd.openxmlformats-officedocument.spreadsheetml.comments+xml"/>
  <Override PartName="/xl/comments92.xml" ContentType="application/vnd.openxmlformats-officedocument.spreadsheetml.comments+xml"/>
  <Override PartName="/xl/comments93.xml" ContentType="application/vnd.openxmlformats-officedocument.spreadsheetml.comments+xml"/>
  <Override PartName="/xl/comments94.xml" ContentType="application/vnd.openxmlformats-officedocument.spreadsheetml.comments+xml"/>
  <Override PartName="/xl/comments95.xml" ContentType="application/vnd.openxmlformats-officedocument.spreadsheetml.comments+xml"/>
  <Override PartName="/xl/comments96.xml" ContentType="application/vnd.openxmlformats-officedocument.spreadsheetml.comments+xml"/>
  <Override PartName="/xl/comments97.xml" ContentType="application/vnd.openxmlformats-officedocument.spreadsheetml.comments+xml"/>
  <Override PartName="/xl/comments98.xml" ContentType="application/vnd.openxmlformats-officedocument.spreadsheetml.comments+xml"/>
  <Override PartName="/xl/comments99.xml" ContentType="application/vnd.openxmlformats-officedocument.spreadsheetml.comments+xml"/>
  <Override PartName="/xl/comments100.xml" ContentType="application/vnd.openxmlformats-officedocument.spreadsheetml.comments+xml"/>
  <Override PartName="/xl/comments101.xml" ContentType="application/vnd.openxmlformats-officedocument.spreadsheetml.comments+xml"/>
  <Override PartName="/xl/comments102.xml" ContentType="application/vnd.openxmlformats-officedocument.spreadsheetml.comments+xml"/>
  <Override PartName="/xl/comments103.xml" ContentType="application/vnd.openxmlformats-officedocument.spreadsheetml.comments+xml"/>
  <Override PartName="/xl/comments104.xml" ContentType="application/vnd.openxmlformats-officedocument.spreadsheetml.comments+xml"/>
  <Override PartName="/xl/comments105.xml" ContentType="application/vnd.openxmlformats-officedocument.spreadsheetml.comments+xml"/>
  <Override PartName="/xl/comments106.xml" ContentType="application/vnd.openxmlformats-officedocument.spreadsheetml.comments+xml"/>
  <Override PartName="/xl/comments107.xml" ContentType="application/vnd.openxmlformats-officedocument.spreadsheetml.comments+xml"/>
  <Override PartName="/xl/comments108.xml" ContentType="application/vnd.openxmlformats-officedocument.spreadsheetml.comments+xml"/>
  <Override PartName="/xl/comments109.xml" ContentType="application/vnd.openxmlformats-officedocument.spreadsheetml.comments+xml"/>
  <Override PartName="/xl/comments1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psolution/Desktop/Personal/LK_XI_KN_III/"/>
    </mc:Choice>
  </mc:AlternateContent>
  <bookViews>
    <workbookView xWindow="0" yWindow="460" windowWidth="28020" windowHeight="17540"/>
  </bookViews>
  <sheets>
    <sheet name="Karakterlap" sheetId="1" r:id="rId1"/>
    <sheet name="Adattábla" sheetId="2" state="hidden" r:id="rId2"/>
    <sheet name="Fegyverek" sheetId="3" state="hidden" r:id="rId3"/>
    <sheet name="Faji képzettségek" sheetId="113" state="hidden" r:id="rId4"/>
    <sheet name="Harcos" sheetId="4" state="hidden" r:id="rId5"/>
    <sheet name="Amazon" sheetId="5" state="hidden" r:id="rId6"/>
    <sheet name="Bajvívó" sheetId="6" state="hidden" r:id="rId7"/>
    <sheet name="Barbár" sheetId="7" state="hidden" r:id="rId8"/>
    <sheet name="Abasziszi_Falanxharcos" sheetId="8" state="hidden" r:id="rId9"/>
    <sheet name="Dwoon_Vértes_gyalogos" sheetId="9" state="hidden" r:id="rId10"/>
    <sheet name="Dwoon_Fehér_lovas" sheetId="10" state="hidden" r:id="rId11"/>
    <sheet name="Ereni_Kékköpenyes" sheetId="11" state="hidden" r:id="rId12"/>
    <sheet name="Erigowi_Szabad_Lovas" sheetId="12" state="hidden" r:id="rId13"/>
    <sheet name="Erigowi_Talpas" sheetId="13" state="hidden" r:id="rId14"/>
    <sheet name="Erigowi_Íjász" sheetId="15" state="hidden" r:id="rId15"/>
    <sheet name="Gianagi_Alabárdos" sheetId="14" state="hidden" r:id="rId16"/>
    <sheet name="Haonwell_Alborne_Csill." sheetId="16" state="hidden" r:id="rId17"/>
    <sheet name="Haonwell_Nerton" sheetId="17" state="hidden" r:id="rId18"/>
    <sheet name="Ilanori_Vágtató" sheetId="18" state="hidden" r:id="rId19"/>
    <sheet name="Sirenari_Erdőjáró" sheetId="20" state="hidden" r:id="rId20"/>
    <sheet name="Törpe_Harcos" sheetId="19" state="hidden" r:id="rId21"/>
    <sheet name="Rackla_lovas" sheetId="21" state="hidden" r:id="rId22"/>
    <sheet name="Tiadlani_Kardmester" sheetId="22" state="hidden" r:id="rId23"/>
    <sheet name="Toroni_Ezüstkard_Bajnok" sheetId="23" state="hidden" r:id="rId24"/>
    <sheet name="Toroni_Elitharcos" sheetId="24" state="hidden" r:id="rId25"/>
    <sheet name="Predoci_Vértes" sheetId="25" state="hidden" r:id="rId26"/>
    <sheet name="Edorli_Gyalogos" sheetId="26" state="hidden" r:id="rId27"/>
    <sheet name="Harcos_tengerészek" sheetId="27" state="hidden" r:id="rId28"/>
    <sheet name="Praedarmon_Lobogói" sheetId="28" state="hidden" r:id="rId29"/>
    <sheet name="Syburri_Vértesgyalogos" sheetId="29" state="hidden" r:id="rId30"/>
    <sheet name="Nasti_könnyűlovas" sheetId="30" state="hidden" r:id="rId31"/>
    <sheet name="Ordani_lángőr" sheetId="31" state="hidden" r:id="rId32"/>
    <sheet name="Hadzsi" sheetId="32" state="hidden" r:id="rId33"/>
    <sheet name="Bahrada" sheetId="33" state="hidden" r:id="rId34"/>
    <sheet name="Birodalmi_zsoldosok" sheetId="34" state="hidden" r:id="rId35"/>
    <sheet name="Gorvik_Szabad_harcos" sheetId="35" state="hidden" r:id="rId36"/>
    <sheet name="Gorvik_Tengeri_vadász" sheetId="36" state="hidden" r:id="rId37"/>
    <sheet name="Kráni_Szabados" sheetId="37" state="hidden" r:id="rId38"/>
    <sheet name="Yllinori_Sólyom" sheetId="38" state="hidden" r:id="rId39"/>
    <sheet name="Yllinori_Kopjás_Farkas" sheetId="39" state="hidden" r:id="rId40"/>
    <sheet name="Yllinori_Vaslovas" sheetId="40" state="hidden" r:id="rId41"/>
    <sheet name="Yllinori_Medve" sheetId="41" state="hidden" r:id="rId42"/>
    <sheet name="Yllinori_Sas" sheetId="42" state="hidden" r:id="rId43"/>
    <sheet name="Gladiátor" sheetId="43" state="hidden" r:id="rId44"/>
    <sheet name="Fejvadász" sheetId="44" state="hidden" r:id="rId45"/>
    <sheet name="Lovag" sheetId="45" state="hidden" r:id="rId46"/>
    <sheet name="Tolvaj" sheetId="46" state="hidden" r:id="rId47"/>
    <sheet name="Bárd" sheetId="47" state="hidden" r:id="rId48"/>
    <sheet name="Pap" sheetId="48" state="hidden" r:id="rId49"/>
    <sheet name="Adron_pap" sheetId="49" state="hidden" r:id="rId50"/>
    <sheet name="Alborne_pap" sheetId="50" state="hidden" r:id="rId51"/>
    <sheet name="Antoh_pap" sheetId="51" state="hidden" r:id="rId52"/>
    <sheet name="Arel_pap_Sólyomszív" sheetId="52" state="hidden" r:id="rId53"/>
    <sheet name="Arel_pap_Sólyomcsőr" sheetId="53" state="hidden" r:id="rId54"/>
    <sheet name="Arel_pap_Sólyomkarom" sheetId="54" state="hidden" r:id="rId55"/>
    <sheet name="Darton_pap" sheetId="55" state="hidden" r:id="rId56"/>
    <sheet name="Della_pap" sheetId="56" state="hidden" r:id="rId57"/>
    <sheet name="Doldzsah_pap" sheetId="57" state="hidden" r:id="rId58"/>
    <sheet name="Domvik_pap" sheetId="58" state="hidden" r:id="rId59"/>
    <sheet name="Dreina_pap_Pol" sheetId="81" state="hidden" r:id="rId60"/>
    <sheet name="Dreina_pap_Gazd" sheetId="80" state="hidden" r:id="rId61"/>
    <sheet name="Dreina_pap_Jog" sheetId="59" state="hidden" r:id="rId62"/>
    <sheet name="Dzsah_pap" sheetId="60" state="hidden" r:id="rId63"/>
    <sheet name="Ellana_papnő" sheetId="61" state="hidden" r:id="rId64"/>
    <sheet name="Galradzsa_pap" sheetId="62" state="hidden" r:id="rId65"/>
    <sheet name="Gilron_pap_Mérnök" sheetId="63" state="hidden" r:id="rId66"/>
    <sheet name="Gilron_pap_Segéd" sheetId="64" state="hidden" r:id="rId67"/>
    <sheet name="Krad_pap" sheetId="65" state="hidden" r:id="rId68"/>
    <sheet name="Kyel_pap" sheetId="66" state="hidden" r:id="rId69"/>
    <sheet name="Morgena_pap_Angyal" sheetId="73" state="hidden" r:id="rId70"/>
    <sheet name="Morgena_pap_Farkas" sheetId="67" state="hidden" r:id="rId71"/>
    <sheet name="Noir_pap_Befogadott" sheetId="68" state="hidden" r:id="rId72"/>
    <sheet name="Noir_pap_Bálványtagadó" sheetId="69" state="hidden" r:id="rId73"/>
    <sheet name="Orwella_Papnő_ANH" sheetId="70" state="hidden" r:id="rId74"/>
    <sheet name="Orwella_Papnő_PE" sheetId="71" state="hidden" r:id="rId75"/>
    <sheet name="Ranagol_pap" sheetId="74" state="hidden" r:id="rId76"/>
    <sheet name="Ranil_pap" sheetId="72" state="hidden" r:id="rId77"/>
    <sheet name="Sámán_pap_Leutaril" sheetId="75" state="hidden" r:id="rId78"/>
    <sheet name="Sámán_pap_Ramkir" sheetId="76" state="hidden" r:id="rId79"/>
    <sheet name="Sámán_pap_Tomatis" sheetId="77" state="hidden" r:id="rId80"/>
    <sheet name="Sogron_pap_Lángvihar" sheetId="78" state="hidden" r:id="rId81"/>
    <sheet name="Sogron_pap_Őst.Urai" sheetId="79" state="hidden" r:id="rId82"/>
    <sheet name="Tharr_pap_Khótorr" sheetId="82" state="hidden" r:id="rId83"/>
    <sheet name="Tharr_pap_Quessor" sheetId="83" state="hidden" r:id="rId84"/>
    <sheet name="Tharr_pap_Sanquinator" sheetId="84" state="hidden" r:id="rId85"/>
    <sheet name="Kadal_pap" sheetId="86" state="hidden" r:id="rId86"/>
    <sheet name="Tooma_pap" sheetId="87" state="hidden" r:id="rId87"/>
    <sheet name="Paplovag" sheetId="85" state="hidden" r:id="rId88"/>
    <sheet name="Darton_paplovag" sheetId="88" state="hidden" r:id="rId89"/>
    <sheet name="Dervis" sheetId="89" state="hidden" r:id="rId90"/>
    <sheet name="Domvik_bosz.vadász" sheetId="90" state="hidden" r:id="rId91"/>
    <sheet name="Domvik_paplovag" sheetId="91" state="hidden" r:id="rId92"/>
    <sheet name="Dreina_paplovag" sheetId="92" state="hidden" r:id="rId93"/>
    <sheet name="Krad_paplovag" sheetId="93" state="hidden" r:id="rId94"/>
    <sheet name="Orwella_paplovag" sheetId="94" state="hidden" r:id="rId95"/>
    <sheet name="Ranagol_paplovag" sheetId="95" state="hidden" r:id="rId96"/>
    <sheet name="Ranil_paplovag" sheetId="96" state="hidden" r:id="rId97"/>
    <sheet name="Uwel_paplovag" sheetId="97" state="hidden" r:id="rId98"/>
    <sheet name="Harcművész" sheetId="98" state="hidden" r:id="rId99"/>
    <sheet name="Kardművész" sheetId="99" state="hidden" r:id="rId100"/>
    <sheet name="Boszorkány" sheetId="100" state="hidden" r:id="rId101"/>
    <sheet name="Boszorkánymester" sheetId="101" state="hidden" r:id="rId102"/>
    <sheet name="Tűzvarázsló" sheetId="102" state="hidden" r:id="rId103"/>
    <sheet name="Pusztító_Tűz_Útja" sheetId="103" state="hidden" r:id="rId104"/>
    <sheet name="Fény_Ösvénye" sheetId="104" state="hidden" r:id="rId105"/>
    <sheet name="Sorgon_Útja" sheetId="105" state="hidden" r:id="rId106"/>
    <sheet name="Főnix" sheetId="106" state="hidden" r:id="rId107"/>
    <sheet name="Tűz_Tápláló" sheetId="107" state="hidden" r:id="rId108"/>
    <sheet name="Varázsló" sheetId="108" state="hidden" r:id="rId109"/>
    <sheet name="Nomád_sámán" sheetId="109" state="hidden" r:id="rId110"/>
    <sheet name="Szerzetes" sheetId="110" state="hidden" r:id="rId111"/>
    <sheet name="Szerzetes_Benignus" sheetId="111" state="hidden" r:id="rId112"/>
    <sheet name="Szerzetes_Pyarronita" sheetId="112" state="hidden" r:id="rId113"/>
  </sheets>
  <definedNames>
    <definedName name="eldontendo">Adattábla!$E$2:$E$3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F97" i="2" l="1"/>
  <c r="Y17" i="112"/>
  <c r="R17" i="112"/>
  <c r="Y16" i="112"/>
  <c r="R16" i="112"/>
  <c r="Y15" i="112"/>
  <c r="R15" i="112"/>
  <c r="Y14" i="112"/>
  <c r="R14" i="112"/>
  <c r="Y13" i="112"/>
  <c r="R13" i="112"/>
  <c r="Y12" i="112"/>
  <c r="R12" i="112"/>
  <c r="Y17" i="111"/>
  <c r="R17" i="111"/>
  <c r="Y16" i="111"/>
  <c r="R16" i="111"/>
  <c r="Y15" i="111"/>
  <c r="R15" i="111"/>
  <c r="Y14" i="111"/>
  <c r="R14" i="111"/>
  <c r="Y13" i="111"/>
  <c r="R13" i="111"/>
  <c r="Y12" i="111"/>
  <c r="R12" i="111"/>
  <c r="Y17" i="110"/>
  <c r="R17" i="110"/>
  <c r="Y16" i="110"/>
  <c r="R16" i="110"/>
  <c r="Y15" i="110"/>
  <c r="R15" i="110"/>
  <c r="Y14" i="110"/>
  <c r="R14" i="110"/>
  <c r="Y13" i="110"/>
  <c r="R13" i="110"/>
  <c r="Y12" i="110"/>
  <c r="R12" i="110"/>
  <c r="Y17" i="109"/>
  <c r="R17" i="109"/>
  <c r="Y16" i="109"/>
  <c r="R16" i="109"/>
  <c r="Y15" i="109"/>
  <c r="R15" i="109"/>
  <c r="Y14" i="109"/>
  <c r="R14" i="109"/>
  <c r="Y13" i="109"/>
  <c r="R13" i="109"/>
  <c r="Y12" i="109"/>
  <c r="R12" i="109"/>
  <c r="Y17" i="108"/>
  <c r="R17" i="108"/>
  <c r="Y16" i="108"/>
  <c r="R16" i="108"/>
  <c r="Y15" i="108"/>
  <c r="R15" i="108"/>
  <c r="Y14" i="108"/>
  <c r="R14" i="108"/>
  <c r="Y13" i="108"/>
  <c r="R13" i="108"/>
  <c r="Y12" i="108"/>
  <c r="R12" i="108"/>
  <c r="Y17" i="107"/>
  <c r="R17" i="107"/>
  <c r="Y16" i="107"/>
  <c r="R16" i="107"/>
  <c r="Y15" i="107"/>
  <c r="R15" i="107"/>
  <c r="Y14" i="107"/>
  <c r="R14" i="107"/>
  <c r="Y13" i="107"/>
  <c r="R13" i="107"/>
  <c r="Y12" i="107"/>
  <c r="R12" i="107"/>
  <c r="H17" i="106"/>
  <c r="A17" i="106"/>
  <c r="H16" i="106"/>
  <c r="A16" i="106"/>
  <c r="H15" i="106"/>
  <c r="A15" i="106"/>
  <c r="H14" i="106"/>
  <c r="A14" i="106"/>
  <c r="H13" i="106"/>
  <c r="A13" i="106"/>
  <c r="H12" i="106"/>
  <c r="A12" i="106"/>
  <c r="Y17" i="105"/>
  <c r="R17" i="105"/>
  <c r="Y16" i="105"/>
  <c r="R16" i="105"/>
  <c r="Y15" i="105"/>
  <c r="R15" i="105"/>
  <c r="Y14" i="105"/>
  <c r="R14" i="105"/>
  <c r="Y13" i="105"/>
  <c r="R13" i="105"/>
  <c r="Y12" i="105"/>
  <c r="R12" i="105"/>
  <c r="Y17" i="104"/>
  <c r="R17" i="104"/>
  <c r="Y16" i="104"/>
  <c r="R16" i="104"/>
  <c r="Y15" i="104"/>
  <c r="R15" i="104"/>
  <c r="Y14" i="104"/>
  <c r="R14" i="104"/>
  <c r="Y13" i="104"/>
  <c r="R13" i="104"/>
  <c r="Y12" i="104"/>
  <c r="R12" i="104"/>
  <c r="Y17" i="103"/>
  <c r="R17" i="103"/>
  <c r="Y16" i="103"/>
  <c r="R16" i="103"/>
  <c r="Y15" i="103"/>
  <c r="R15" i="103"/>
  <c r="Y14" i="103"/>
  <c r="R14" i="103"/>
  <c r="Y13" i="103"/>
  <c r="R13" i="103"/>
  <c r="Y12" i="103"/>
  <c r="R12" i="103"/>
  <c r="Y17" i="102"/>
  <c r="R17" i="102"/>
  <c r="Y16" i="102"/>
  <c r="R16" i="102"/>
  <c r="Y15" i="102"/>
  <c r="R15" i="102"/>
  <c r="Y14" i="102"/>
  <c r="R14" i="102"/>
  <c r="Y13" i="102"/>
  <c r="R13" i="102"/>
  <c r="Y12" i="102"/>
  <c r="R12" i="102"/>
  <c r="Y17" i="101"/>
  <c r="R17" i="101"/>
  <c r="Y16" i="101"/>
  <c r="R16" i="101"/>
  <c r="Y15" i="101"/>
  <c r="R15" i="101"/>
  <c r="Y14" i="101"/>
  <c r="R14" i="101"/>
  <c r="Y13" i="101"/>
  <c r="R13" i="101"/>
  <c r="Y12" i="101"/>
  <c r="R12" i="101"/>
  <c r="Y17" i="100"/>
  <c r="R17" i="100"/>
  <c r="Y16" i="100"/>
  <c r="R16" i="100"/>
  <c r="Y15" i="100"/>
  <c r="R15" i="100"/>
  <c r="Y14" i="100"/>
  <c r="R14" i="100"/>
  <c r="Y13" i="100"/>
  <c r="R13" i="100"/>
  <c r="Y12" i="100"/>
  <c r="R12" i="100"/>
  <c r="Y17" i="99"/>
  <c r="R17" i="99"/>
  <c r="Y16" i="99"/>
  <c r="R16" i="99"/>
  <c r="Y15" i="99"/>
  <c r="R15" i="99"/>
  <c r="Y14" i="99"/>
  <c r="R14" i="99"/>
  <c r="Y13" i="99"/>
  <c r="R13" i="99"/>
  <c r="Y12" i="99"/>
  <c r="R12" i="99"/>
  <c r="Y17" i="98"/>
  <c r="R17" i="98"/>
  <c r="Y16" i="98"/>
  <c r="R16" i="98"/>
  <c r="Y15" i="98"/>
  <c r="R15" i="98"/>
  <c r="Y14" i="98"/>
  <c r="R14" i="98"/>
  <c r="Y13" i="98"/>
  <c r="R13" i="98"/>
  <c r="Y12" i="98"/>
  <c r="R12" i="98"/>
  <c r="Y17" i="97"/>
  <c r="R17" i="97"/>
  <c r="Y16" i="97"/>
  <c r="R16" i="97"/>
  <c r="Y15" i="97"/>
  <c r="R15" i="97"/>
  <c r="Y14" i="97"/>
  <c r="R14" i="97"/>
  <c r="Y13" i="97"/>
  <c r="R13" i="97"/>
  <c r="Y12" i="97"/>
  <c r="R12" i="97"/>
  <c r="Y17" i="96"/>
  <c r="R17" i="96"/>
  <c r="Y16" i="96"/>
  <c r="R16" i="96"/>
  <c r="Y15" i="96"/>
  <c r="R15" i="96"/>
  <c r="Y14" i="96"/>
  <c r="R14" i="96"/>
  <c r="Y13" i="96"/>
  <c r="R13" i="96"/>
  <c r="Y12" i="96"/>
  <c r="R12" i="96"/>
  <c r="H17" i="95"/>
  <c r="A17" i="95"/>
  <c r="H16" i="95"/>
  <c r="A16" i="95"/>
  <c r="H15" i="95"/>
  <c r="A15" i="95"/>
  <c r="H14" i="95"/>
  <c r="A14" i="95"/>
  <c r="H13" i="95"/>
  <c r="A13" i="95"/>
  <c r="H12" i="95"/>
  <c r="A12" i="95"/>
  <c r="Y17" i="94"/>
  <c r="R17" i="94"/>
  <c r="Y16" i="94"/>
  <c r="R16" i="94"/>
  <c r="Y15" i="94"/>
  <c r="R15" i="94"/>
  <c r="Y14" i="94"/>
  <c r="R14" i="94"/>
  <c r="Y13" i="94"/>
  <c r="R13" i="94"/>
  <c r="Y12" i="94"/>
  <c r="R12" i="94"/>
  <c r="Y17" i="93"/>
  <c r="R17" i="93"/>
  <c r="Y16" i="93"/>
  <c r="R16" i="93"/>
  <c r="Y15" i="93"/>
  <c r="R15" i="93"/>
  <c r="Y14" i="93"/>
  <c r="R14" i="93"/>
  <c r="Y13" i="93"/>
  <c r="R13" i="93"/>
  <c r="Y12" i="93"/>
  <c r="R12" i="93"/>
  <c r="H17" i="92"/>
  <c r="A17" i="92"/>
  <c r="H16" i="92"/>
  <c r="A16" i="92"/>
  <c r="H15" i="92"/>
  <c r="A15" i="92"/>
  <c r="H14" i="92"/>
  <c r="A14" i="92"/>
  <c r="H13" i="92"/>
  <c r="A13" i="92"/>
  <c r="H12" i="92"/>
  <c r="A12" i="92"/>
  <c r="Y17" i="91"/>
  <c r="R17" i="91"/>
  <c r="Y16" i="91"/>
  <c r="R16" i="91"/>
  <c r="Y15" i="91"/>
  <c r="R15" i="91"/>
  <c r="Y14" i="91"/>
  <c r="R14" i="91"/>
  <c r="Y13" i="91"/>
  <c r="R13" i="91"/>
  <c r="Y12" i="91"/>
  <c r="R12" i="91"/>
  <c r="Y17" i="90"/>
  <c r="R17" i="90"/>
  <c r="Y16" i="90"/>
  <c r="R16" i="90"/>
  <c r="Y15" i="90"/>
  <c r="R15" i="90"/>
  <c r="Y14" i="90"/>
  <c r="R14" i="90"/>
  <c r="Y13" i="90"/>
  <c r="R13" i="90"/>
  <c r="Y12" i="90"/>
  <c r="R12" i="90"/>
  <c r="Y17" i="89"/>
  <c r="R17" i="89"/>
  <c r="Y16" i="89"/>
  <c r="R16" i="89"/>
  <c r="Y15" i="89"/>
  <c r="R15" i="89"/>
  <c r="Y14" i="89"/>
  <c r="R14" i="89"/>
  <c r="Y13" i="89"/>
  <c r="R13" i="89"/>
  <c r="Y12" i="89"/>
  <c r="R12" i="89"/>
  <c r="Y17" i="88"/>
  <c r="R17" i="88"/>
  <c r="Y16" i="88"/>
  <c r="R16" i="88"/>
  <c r="Y15" i="88"/>
  <c r="R15" i="88"/>
  <c r="Y14" i="88"/>
  <c r="R14" i="88"/>
  <c r="Y13" i="88"/>
  <c r="R13" i="88"/>
  <c r="Y12" i="88"/>
  <c r="R12" i="88"/>
  <c r="Y17" i="85"/>
  <c r="R17" i="85"/>
  <c r="Y16" i="85"/>
  <c r="R16" i="85"/>
  <c r="Y15" i="85"/>
  <c r="R15" i="85"/>
  <c r="Y14" i="85"/>
  <c r="R14" i="85"/>
  <c r="Y13" i="85"/>
  <c r="R13" i="85"/>
  <c r="Y12" i="85"/>
  <c r="R12" i="85"/>
  <c r="H17" i="87"/>
  <c r="A17" i="87"/>
  <c r="H16" i="87"/>
  <c r="A16" i="87"/>
  <c r="H15" i="87"/>
  <c r="A15" i="87"/>
  <c r="H14" i="87"/>
  <c r="A14" i="87"/>
  <c r="H13" i="87"/>
  <c r="A13" i="87"/>
  <c r="H12" i="87"/>
  <c r="A12" i="87"/>
  <c r="Y17" i="86"/>
  <c r="R17" i="86"/>
  <c r="Y16" i="86"/>
  <c r="R16" i="86"/>
  <c r="Y15" i="86"/>
  <c r="R15" i="86"/>
  <c r="Y14" i="86"/>
  <c r="R14" i="86"/>
  <c r="Y13" i="86"/>
  <c r="R13" i="86"/>
  <c r="Y12" i="86"/>
  <c r="R12" i="86"/>
  <c r="Y17" i="84"/>
  <c r="R17" i="84"/>
  <c r="Y16" i="84"/>
  <c r="R16" i="84"/>
  <c r="Y15" i="84"/>
  <c r="R15" i="84"/>
  <c r="Y14" i="84"/>
  <c r="R14" i="84"/>
  <c r="Y13" i="84"/>
  <c r="R13" i="84"/>
  <c r="Y12" i="84"/>
  <c r="R12" i="84"/>
  <c r="Y17" i="83"/>
  <c r="R17" i="83"/>
  <c r="Y16" i="83"/>
  <c r="R16" i="83"/>
  <c r="Y15" i="83"/>
  <c r="R15" i="83"/>
  <c r="Y14" i="83"/>
  <c r="R14" i="83"/>
  <c r="Y13" i="83"/>
  <c r="R13" i="83"/>
  <c r="Y12" i="83"/>
  <c r="R12" i="83"/>
  <c r="Y17" i="82"/>
  <c r="R17" i="82"/>
  <c r="Y16" i="82"/>
  <c r="R16" i="82"/>
  <c r="Y15" i="82"/>
  <c r="R15" i="82"/>
  <c r="Y14" i="82"/>
  <c r="R14" i="82"/>
  <c r="Y13" i="82"/>
  <c r="R13" i="82"/>
  <c r="Y12" i="82"/>
  <c r="R12" i="82"/>
  <c r="Y17" i="79"/>
  <c r="R17" i="79"/>
  <c r="Y16" i="79"/>
  <c r="R16" i="79"/>
  <c r="Y15" i="79"/>
  <c r="R15" i="79"/>
  <c r="Y14" i="79"/>
  <c r="R14" i="79"/>
  <c r="Y13" i="79"/>
  <c r="R13" i="79"/>
  <c r="Y12" i="79"/>
  <c r="R12" i="79"/>
  <c r="Y17" i="78"/>
  <c r="R17" i="78"/>
  <c r="Y16" i="78"/>
  <c r="R16" i="78"/>
  <c r="Y15" i="78"/>
  <c r="R15" i="78"/>
  <c r="Y14" i="78"/>
  <c r="R14" i="78"/>
  <c r="Y13" i="78"/>
  <c r="R13" i="78"/>
  <c r="Y12" i="78"/>
  <c r="R12" i="78"/>
  <c r="Y17" i="77"/>
  <c r="R17" i="77"/>
  <c r="Y16" i="77"/>
  <c r="R16" i="77"/>
  <c r="Y15" i="77"/>
  <c r="R15" i="77"/>
  <c r="Y14" i="77"/>
  <c r="R14" i="77"/>
  <c r="Y13" i="77"/>
  <c r="R13" i="77"/>
  <c r="Y12" i="77"/>
  <c r="R12" i="77"/>
  <c r="Y17" i="76"/>
  <c r="R17" i="76"/>
  <c r="Y16" i="76"/>
  <c r="R16" i="76"/>
  <c r="Y15" i="76"/>
  <c r="R15" i="76"/>
  <c r="Y14" i="76"/>
  <c r="R14" i="76"/>
  <c r="Y13" i="76"/>
  <c r="R13" i="76"/>
  <c r="Y12" i="76"/>
  <c r="R12" i="76"/>
  <c r="Y17" i="75"/>
  <c r="R17" i="75"/>
  <c r="Y16" i="75"/>
  <c r="R16" i="75"/>
  <c r="Y15" i="75"/>
  <c r="R15" i="75"/>
  <c r="Y14" i="75"/>
  <c r="R14" i="75"/>
  <c r="Y13" i="75"/>
  <c r="R13" i="75"/>
  <c r="Y12" i="75"/>
  <c r="R12" i="75"/>
  <c r="Y17" i="72"/>
  <c r="R17" i="72"/>
  <c r="Y16" i="72"/>
  <c r="R16" i="72"/>
  <c r="Y15" i="72"/>
  <c r="R15" i="72"/>
  <c r="Y14" i="72"/>
  <c r="R14" i="72"/>
  <c r="Y13" i="72"/>
  <c r="R13" i="72"/>
  <c r="Y12" i="72"/>
  <c r="R12" i="72"/>
  <c r="Y17" i="74"/>
  <c r="R17" i="74"/>
  <c r="Y16" i="74"/>
  <c r="R16" i="74"/>
  <c r="Y15" i="74"/>
  <c r="R15" i="74"/>
  <c r="Y14" i="74"/>
  <c r="R14" i="74"/>
  <c r="Y13" i="74"/>
  <c r="R13" i="74"/>
  <c r="Y12" i="74"/>
  <c r="R12" i="74"/>
  <c r="Y17" i="71"/>
  <c r="R17" i="71"/>
  <c r="Y16" i="71"/>
  <c r="R16" i="71"/>
  <c r="Y15" i="71"/>
  <c r="R15" i="71"/>
  <c r="Y14" i="71"/>
  <c r="R14" i="71"/>
  <c r="Y13" i="71"/>
  <c r="R13" i="71"/>
  <c r="Y12" i="71"/>
  <c r="R12" i="71"/>
  <c r="Y17" i="70"/>
  <c r="R17" i="70"/>
  <c r="Y16" i="70"/>
  <c r="R16" i="70"/>
  <c r="Y15" i="70"/>
  <c r="R15" i="70"/>
  <c r="Y14" i="70"/>
  <c r="R14" i="70"/>
  <c r="Y13" i="70"/>
  <c r="R13" i="70"/>
  <c r="Y12" i="70"/>
  <c r="R12" i="70"/>
  <c r="Y17" i="69"/>
  <c r="R17" i="69"/>
  <c r="Y16" i="69"/>
  <c r="R16" i="69"/>
  <c r="Y15" i="69"/>
  <c r="R15" i="69"/>
  <c r="Y14" i="69"/>
  <c r="R14" i="69"/>
  <c r="Y13" i="69"/>
  <c r="R13" i="69"/>
  <c r="Y12" i="69"/>
  <c r="R12" i="69"/>
  <c r="Y17" i="68"/>
  <c r="R17" i="68"/>
  <c r="Y16" i="68"/>
  <c r="R16" i="68"/>
  <c r="Y15" i="68"/>
  <c r="R15" i="68"/>
  <c r="Y14" i="68"/>
  <c r="R14" i="68"/>
  <c r="Y13" i="68"/>
  <c r="R13" i="68"/>
  <c r="Y12" i="68"/>
  <c r="R12" i="68"/>
  <c r="Y17" i="67"/>
  <c r="R17" i="67"/>
  <c r="Y16" i="67"/>
  <c r="R16" i="67"/>
  <c r="Y15" i="67"/>
  <c r="R15" i="67"/>
  <c r="Y14" i="67"/>
  <c r="R14" i="67"/>
  <c r="Y13" i="67"/>
  <c r="R13" i="67"/>
  <c r="Y12" i="67"/>
  <c r="R12" i="67"/>
  <c r="Y17" i="73"/>
  <c r="R17" i="73"/>
  <c r="Y16" i="73"/>
  <c r="R16" i="73"/>
  <c r="Y15" i="73"/>
  <c r="R15" i="73"/>
  <c r="Y14" i="73"/>
  <c r="R14" i="73"/>
  <c r="Y13" i="73"/>
  <c r="R13" i="73"/>
  <c r="Y12" i="73"/>
  <c r="R12" i="73"/>
  <c r="Y17" i="66"/>
  <c r="R17" i="66"/>
  <c r="Y16" i="66"/>
  <c r="R16" i="66"/>
  <c r="Y15" i="66"/>
  <c r="R15" i="66"/>
  <c r="Y14" i="66"/>
  <c r="R14" i="66"/>
  <c r="Y13" i="66"/>
  <c r="R13" i="66"/>
  <c r="Y12" i="66"/>
  <c r="R12" i="66"/>
  <c r="Y17" i="65"/>
  <c r="R17" i="65"/>
  <c r="Y16" i="65"/>
  <c r="R16" i="65"/>
  <c r="Y15" i="65"/>
  <c r="R15" i="65"/>
  <c r="Y14" i="65"/>
  <c r="R14" i="65"/>
  <c r="Y13" i="65"/>
  <c r="R13" i="65"/>
  <c r="Y12" i="65"/>
  <c r="R12" i="65"/>
  <c r="Y17" i="64"/>
  <c r="R17" i="64"/>
  <c r="Y16" i="64"/>
  <c r="R16" i="64"/>
  <c r="Y15" i="64"/>
  <c r="R15" i="64"/>
  <c r="Y14" i="64"/>
  <c r="R14" i="64"/>
  <c r="Y13" i="64"/>
  <c r="R13" i="64"/>
  <c r="Y12" i="64"/>
  <c r="R12" i="64"/>
  <c r="Y17" i="63"/>
  <c r="R17" i="63"/>
  <c r="Y16" i="63"/>
  <c r="R16" i="63"/>
  <c r="Y15" i="63"/>
  <c r="R15" i="63"/>
  <c r="Y14" i="63"/>
  <c r="R14" i="63"/>
  <c r="Y13" i="63"/>
  <c r="R13" i="63"/>
  <c r="Y12" i="63"/>
  <c r="R12" i="63"/>
  <c r="Y17" i="62"/>
  <c r="R17" i="62"/>
  <c r="Y16" i="62"/>
  <c r="R16" i="62"/>
  <c r="Y15" i="62"/>
  <c r="R15" i="62"/>
  <c r="Y14" i="62"/>
  <c r="R14" i="62"/>
  <c r="Y13" i="62"/>
  <c r="R13" i="62"/>
  <c r="Y12" i="62"/>
  <c r="R12" i="62"/>
  <c r="Y17" i="61"/>
  <c r="R17" i="61"/>
  <c r="Y16" i="61"/>
  <c r="R16" i="61"/>
  <c r="Y15" i="61"/>
  <c r="R15" i="61"/>
  <c r="Y14" i="61"/>
  <c r="R14" i="61"/>
  <c r="Y13" i="61"/>
  <c r="R13" i="61"/>
  <c r="Y12" i="61"/>
  <c r="R12" i="61"/>
  <c r="Y17" i="60"/>
  <c r="R17" i="60"/>
  <c r="Y16" i="60"/>
  <c r="R16" i="60"/>
  <c r="Y15" i="60"/>
  <c r="R15" i="60"/>
  <c r="Y14" i="60"/>
  <c r="R14" i="60"/>
  <c r="Y13" i="60"/>
  <c r="R13" i="60"/>
  <c r="Y12" i="60"/>
  <c r="R12" i="60"/>
  <c r="Y17" i="59"/>
  <c r="R17" i="59"/>
  <c r="Y16" i="59"/>
  <c r="R16" i="59"/>
  <c r="Y15" i="59"/>
  <c r="R15" i="59"/>
  <c r="Y14" i="59"/>
  <c r="R14" i="59"/>
  <c r="Y13" i="59"/>
  <c r="R13" i="59"/>
  <c r="Y12" i="59"/>
  <c r="R12" i="59"/>
  <c r="Y17" i="80"/>
  <c r="R17" i="80"/>
  <c r="Y16" i="80"/>
  <c r="R16" i="80"/>
  <c r="Y15" i="80"/>
  <c r="R15" i="80"/>
  <c r="Y14" i="80"/>
  <c r="R14" i="80"/>
  <c r="Y13" i="80"/>
  <c r="R13" i="80"/>
  <c r="Y12" i="80"/>
  <c r="R12" i="80"/>
  <c r="Y17" i="81"/>
  <c r="R17" i="81"/>
  <c r="Y16" i="81"/>
  <c r="R16" i="81"/>
  <c r="Y15" i="81"/>
  <c r="R15" i="81"/>
  <c r="Y14" i="81"/>
  <c r="R14" i="81"/>
  <c r="Y13" i="81"/>
  <c r="R13" i="81"/>
  <c r="Y12" i="81"/>
  <c r="R12" i="81"/>
  <c r="Y17" i="58"/>
  <c r="R17" i="58"/>
  <c r="Y16" i="58"/>
  <c r="R16" i="58"/>
  <c r="Y15" i="58"/>
  <c r="R15" i="58"/>
  <c r="Y14" i="58"/>
  <c r="R14" i="58"/>
  <c r="Y13" i="58"/>
  <c r="R13" i="58"/>
  <c r="Y12" i="58"/>
  <c r="R12" i="58"/>
  <c r="Y17" i="57"/>
  <c r="R17" i="57"/>
  <c r="Y16" i="57"/>
  <c r="R16" i="57"/>
  <c r="Y15" i="57"/>
  <c r="R15" i="57"/>
  <c r="Y14" i="57"/>
  <c r="R14" i="57"/>
  <c r="Y13" i="57"/>
  <c r="R13" i="57"/>
  <c r="Y12" i="57"/>
  <c r="R12" i="57"/>
  <c r="Y17" i="56"/>
  <c r="R17" i="56"/>
  <c r="Y16" i="56"/>
  <c r="R16" i="56"/>
  <c r="Y15" i="56"/>
  <c r="R15" i="56"/>
  <c r="Y14" i="56"/>
  <c r="R14" i="56"/>
  <c r="Y13" i="56"/>
  <c r="R13" i="56"/>
  <c r="Y12" i="56"/>
  <c r="R12" i="56"/>
  <c r="Y17" i="55"/>
  <c r="R17" i="55"/>
  <c r="Y16" i="55"/>
  <c r="R16" i="55"/>
  <c r="Y15" i="55"/>
  <c r="R15" i="55"/>
  <c r="Y14" i="55"/>
  <c r="R14" i="55"/>
  <c r="Y13" i="55"/>
  <c r="R13" i="55"/>
  <c r="Y12" i="55"/>
  <c r="R12" i="55"/>
  <c r="Y17" i="54"/>
  <c r="R17" i="54"/>
  <c r="Y16" i="54"/>
  <c r="R16" i="54"/>
  <c r="Y15" i="54"/>
  <c r="R15" i="54"/>
  <c r="Y14" i="54"/>
  <c r="R14" i="54"/>
  <c r="Y13" i="54"/>
  <c r="R13" i="54"/>
  <c r="Y12" i="54"/>
  <c r="R12" i="54"/>
  <c r="Y17" i="53"/>
  <c r="R17" i="53"/>
  <c r="Y16" i="53"/>
  <c r="R16" i="53"/>
  <c r="Y15" i="53"/>
  <c r="R15" i="53"/>
  <c r="Y14" i="53"/>
  <c r="R14" i="53"/>
  <c r="Y13" i="53"/>
  <c r="R13" i="53"/>
  <c r="Y12" i="53"/>
  <c r="R12" i="53"/>
  <c r="Y17" i="52"/>
  <c r="R17" i="52"/>
  <c r="Y16" i="52"/>
  <c r="R16" i="52"/>
  <c r="Y15" i="52"/>
  <c r="R15" i="52"/>
  <c r="Y14" i="52"/>
  <c r="R14" i="52"/>
  <c r="Y13" i="52"/>
  <c r="R13" i="52"/>
  <c r="Y12" i="52"/>
  <c r="R12" i="52"/>
  <c r="Y17" i="51"/>
  <c r="R17" i="51"/>
  <c r="Y16" i="51"/>
  <c r="R16" i="51"/>
  <c r="Y15" i="51"/>
  <c r="R15" i="51"/>
  <c r="Y14" i="51"/>
  <c r="R14" i="51"/>
  <c r="Y13" i="51"/>
  <c r="R13" i="51"/>
  <c r="Y12" i="51"/>
  <c r="R12" i="51"/>
  <c r="Y17" i="50"/>
  <c r="R17" i="50"/>
  <c r="Y16" i="50"/>
  <c r="R16" i="50"/>
  <c r="Y15" i="50"/>
  <c r="R15" i="50"/>
  <c r="Y14" i="50"/>
  <c r="R14" i="50"/>
  <c r="Y13" i="50"/>
  <c r="R13" i="50"/>
  <c r="Y12" i="50"/>
  <c r="R12" i="50"/>
  <c r="Y17" i="49"/>
  <c r="R17" i="49"/>
  <c r="Y16" i="49"/>
  <c r="R16" i="49"/>
  <c r="Y15" i="49"/>
  <c r="R15" i="49"/>
  <c r="Y14" i="49"/>
  <c r="R14" i="49"/>
  <c r="Y13" i="49"/>
  <c r="R13" i="49"/>
  <c r="Y12" i="49"/>
  <c r="R12" i="49"/>
  <c r="Y17" i="48"/>
  <c r="R17" i="48"/>
  <c r="Y16" i="48"/>
  <c r="R16" i="48"/>
  <c r="Y15" i="48"/>
  <c r="R15" i="48"/>
  <c r="Y14" i="48"/>
  <c r="R14" i="48"/>
  <c r="Y13" i="48"/>
  <c r="R13" i="48"/>
  <c r="Y12" i="48"/>
  <c r="R12" i="48"/>
  <c r="H17" i="47"/>
  <c r="A17" i="47"/>
  <c r="H16" i="47"/>
  <c r="A16" i="47"/>
  <c r="H15" i="47"/>
  <c r="A15" i="47"/>
  <c r="H14" i="47"/>
  <c r="A14" i="47"/>
  <c r="H13" i="47"/>
  <c r="A13" i="47"/>
  <c r="H12" i="47"/>
  <c r="A12" i="47"/>
  <c r="H17" i="46"/>
  <c r="A17" i="46"/>
  <c r="H16" i="46"/>
  <c r="A16" i="46"/>
  <c r="H15" i="46"/>
  <c r="A15" i="46"/>
  <c r="H14" i="46"/>
  <c r="A14" i="46"/>
  <c r="H13" i="46"/>
  <c r="A13" i="46"/>
  <c r="H12" i="46"/>
  <c r="A12" i="46"/>
  <c r="Y17" i="45"/>
  <c r="R17" i="45"/>
  <c r="Y16" i="45"/>
  <c r="R16" i="45"/>
  <c r="Y15" i="45"/>
  <c r="R15" i="45"/>
  <c r="Y14" i="45"/>
  <c r="R14" i="45"/>
  <c r="Y13" i="45"/>
  <c r="R13" i="45"/>
  <c r="Y12" i="45"/>
  <c r="R12" i="45"/>
  <c r="H17" i="44"/>
  <c r="A17" i="44"/>
  <c r="H16" i="44"/>
  <c r="A16" i="44"/>
  <c r="H15" i="44"/>
  <c r="A15" i="44"/>
  <c r="H14" i="44"/>
  <c r="A14" i="44"/>
  <c r="H13" i="44"/>
  <c r="A13" i="44"/>
  <c r="H12" i="44"/>
  <c r="A12" i="44"/>
  <c r="Y17" i="43"/>
  <c r="R17" i="43"/>
  <c r="Y16" i="43"/>
  <c r="R16" i="43"/>
  <c r="Y15" i="43"/>
  <c r="R15" i="43"/>
  <c r="Y14" i="43"/>
  <c r="R14" i="43"/>
  <c r="Y13" i="43"/>
  <c r="R13" i="43"/>
  <c r="Y12" i="43"/>
  <c r="R12" i="43"/>
  <c r="Y17" i="42"/>
  <c r="R17" i="42"/>
  <c r="Y16" i="42"/>
  <c r="R16" i="42"/>
  <c r="Y15" i="42"/>
  <c r="R15" i="42"/>
  <c r="Y14" i="42"/>
  <c r="R14" i="42"/>
  <c r="Y13" i="42"/>
  <c r="R13" i="42"/>
  <c r="Y12" i="42"/>
  <c r="R12" i="42"/>
  <c r="H17" i="41"/>
  <c r="A17" i="41"/>
  <c r="H16" i="41"/>
  <c r="A16" i="41"/>
  <c r="H15" i="41"/>
  <c r="A15" i="41"/>
  <c r="H14" i="41"/>
  <c r="A14" i="41"/>
  <c r="H13" i="41"/>
  <c r="A13" i="41"/>
  <c r="H12" i="41"/>
  <c r="A12" i="41"/>
  <c r="Y17" i="40"/>
  <c r="R17" i="40"/>
  <c r="Y16" i="40"/>
  <c r="R16" i="40"/>
  <c r="Y15" i="40"/>
  <c r="R15" i="40"/>
  <c r="Y14" i="40"/>
  <c r="R14" i="40"/>
  <c r="Y13" i="40"/>
  <c r="R13" i="40"/>
  <c r="Y12" i="40"/>
  <c r="R12" i="40"/>
  <c r="H17" i="39"/>
  <c r="A17" i="39"/>
  <c r="H16" i="39"/>
  <c r="A16" i="39"/>
  <c r="H15" i="39"/>
  <c r="A15" i="39"/>
  <c r="H14" i="39"/>
  <c r="A14" i="39"/>
  <c r="H13" i="39"/>
  <c r="A13" i="39"/>
  <c r="H12" i="39"/>
  <c r="A12" i="39"/>
  <c r="H17" i="38"/>
  <c r="A17" i="38"/>
  <c r="H16" i="38"/>
  <c r="A16" i="38"/>
  <c r="H15" i="38"/>
  <c r="A15" i="38"/>
  <c r="H14" i="38"/>
  <c r="A14" i="38"/>
  <c r="H13" i="38"/>
  <c r="A13" i="38"/>
  <c r="H12" i="38"/>
  <c r="A12" i="38"/>
  <c r="H17" i="37"/>
  <c r="A17" i="37"/>
  <c r="H16" i="37"/>
  <c r="A16" i="37"/>
  <c r="H15" i="37"/>
  <c r="A15" i="37"/>
  <c r="H14" i="37"/>
  <c r="A14" i="37"/>
  <c r="H13" i="37"/>
  <c r="A13" i="37"/>
  <c r="H12" i="37"/>
  <c r="A12" i="37"/>
  <c r="H17" i="36"/>
  <c r="A17" i="36"/>
  <c r="H16" i="36"/>
  <c r="A16" i="36"/>
  <c r="H15" i="36"/>
  <c r="A15" i="36"/>
  <c r="H14" i="36"/>
  <c r="A14" i="36"/>
  <c r="H13" i="36"/>
  <c r="A13" i="36"/>
  <c r="H12" i="36"/>
  <c r="A12" i="36"/>
  <c r="Y17" i="35"/>
  <c r="R17" i="35"/>
  <c r="Y16" i="35"/>
  <c r="R16" i="35"/>
  <c r="Y15" i="35"/>
  <c r="R15" i="35"/>
  <c r="Y14" i="35"/>
  <c r="R14" i="35"/>
  <c r="Y13" i="35"/>
  <c r="R13" i="35"/>
  <c r="Y12" i="35"/>
  <c r="R12" i="35"/>
  <c r="Y17" i="34"/>
  <c r="R17" i="34"/>
  <c r="Y16" i="34"/>
  <c r="R16" i="34"/>
  <c r="Y15" i="34"/>
  <c r="R15" i="34"/>
  <c r="Y14" i="34"/>
  <c r="R14" i="34"/>
  <c r="Y13" i="34"/>
  <c r="R13" i="34"/>
  <c r="Y12" i="34"/>
  <c r="R12" i="34"/>
  <c r="Y17" i="33"/>
  <c r="R17" i="33"/>
  <c r="Y16" i="33"/>
  <c r="R16" i="33"/>
  <c r="Y15" i="33"/>
  <c r="R15" i="33"/>
  <c r="Y14" i="33"/>
  <c r="R14" i="33"/>
  <c r="Y13" i="33"/>
  <c r="R13" i="33"/>
  <c r="Y12" i="33"/>
  <c r="R12" i="33"/>
  <c r="H17" i="32"/>
  <c r="A17" i="32"/>
  <c r="H16" i="32"/>
  <c r="A16" i="32"/>
  <c r="H15" i="32"/>
  <c r="A15" i="32"/>
  <c r="H14" i="32"/>
  <c r="A14" i="32"/>
  <c r="H13" i="32"/>
  <c r="A13" i="32"/>
  <c r="H12" i="32"/>
  <c r="A12" i="32"/>
  <c r="H17" i="31"/>
  <c r="A17" i="31"/>
  <c r="H16" i="31"/>
  <c r="A16" i="31"/>
  <c r="H15" i="31"/>
  <c r="A15" i="31"/>
  <c r="H14" i="31"/>
  <c r="A14" i="31"/>
  <c r="H13" i="31"/>
  <c r="A13" i="31"/>
  <c r="H12" i="31"/>
  <c r="A12" i="31"/>
  <c r="H17" i="30"/>
  <c r="A17" i="30"/>
  <c r="H16" i="30"/>
  <c r="A16" i="30"/>
  <c r="H15" i="30"/>
  <c r="A15" i="30"/>
  <c r="H14" i="30"/>
  <c r="A14" i="30"/>
  <c r="H13" i="30"/>
  <c r="A13" i="30"/>
  <c r="H12" i="30"/>
  <c r="A12" i="30"/>
  <c r="Y17" i="29"/>
  <c r="R17" i="29"/>
  <c r="Y16" i="29"/>
  <c r="R16" i="29"/>
  <c r="Y15" i="29"/>
  <c r="R15" i="29"/>
  <c r="Y14" i="29"/>
  <c r="R14" i="29"/>
  <c r="Y13" i="29"/>
  <c r="R13" i="29"/>
  <c r="Y12" i="29"/>
  <c r="R12" i="29"/>
  <c r="Y17" i="28"/>
  <c r="R17" i="28"/>
  <c r="Y16" i="28"/>
  <c r="R16" i="28"/>
  <c r="Y15" i="28"/>
  <c r="R15" i="28"/>
  <c r="Y14" i="28"/>
  <c r="R14" i="28"/>
  <c r="Y13" i="28"/>
  <c r="R13" i="28"/>
  <c r="Y12" i="28"/>
  <c r="R12" i="28"/>
  <c r="H17" i="27"/>
  <c r="A17" i="27"/>
  <c r="H16" i="27"/>
  <c r="A16" i="27"/>
  <c r="H15" i="27"/>
  <c r="A15" i="27"/>
  <c r="H14" i="27"/>
  <c r="A14" i="27"/>
  <c r="H13" i="27"/>
  <c r="A13" i="27"/>
  <c r="H12" i="27"/>
  <c r="A12" i="27"/>
  <c r="Y17" i="26"/>
  <c r="R17" i="26"/>
  <c r="Y16" i="26"/>
  <c r="R16" i="26"/>
  <c r="Y15" i="26"/>
  <c r="R15" i="26"/>
  <c r="Y14" i="26"/>
  <c r="R14" i="26"/>
  <c r="Y13" i="26"/>
  <c r="R13" i="26"/>
  <c r="Y12" i="26"/>
  <c r="R12" i="26"/>
  <c r="Y17" i="25"/>
  <c r="R17" i="25"/>
  <c r="Y16" i="25"/>
  <c r="R16" i="25"/>
  <c r="Y15" i="25"/>
  <c r="R15" i="25"/>
  <c r="Y14" i="25"/>
  <c r="R14" i="25"/>
  <c r="Y13" i="25"/>
  <c r="R13" i="25"/>
  <c r="Y12" i="25"/>
  <c r="R12" i="25"/>
  <c r="Y17" i="24"/>
  <c r="R17" i="24"/>
  <c r="Y16" i="24"/>
  <c r="R16" i="24"/>
  <c r="Y15" i="24"/>
  <c r="R15" i="24"/>
  <c r="Y14" i="24"/>
  <c r="R14" i="24"/>
  <c r="Y13" i="24"/>
  <c r="R13" i="24"/>
  <c r="Y12" i="24"/>
  <c r="R12" i="24"/>
  <c r="Y17" i="23"/>
  <c r="R17" i="23"/>
  <c r="Y16" i="23"/>
  <c r="R16" i="23"/>
  <c r="Y15" i="23"/>
  <c r="R15" i="23"/>
  <c r="Y14" i="23"/>
  <c r="R14" i="23"/>
  <c r="Y13" i="23"/>
  <c r="R13" i="23"/>
  <c r="Y12" i="23"/>
  <c r="R12" i="23"/>
  <c r="Y17" i="22"/>
  <c r="R17" i="22"/>
  <c r="Y16" i="22"/>
  <c r="R16" i="22"/>
  <c r="Y15" i="22"/>
  <c r="R15" i="22"/>
  <c r="Y14" i="22"/>
  <c r="R14" i="22"/>
  <c r="Y13" i="22"/>
  <c r="R13" i="22"/>
  <c r="Y12" i="22"/>
  <c r="R12" i="22"/>
  <c r="Y17" i="21"/>
  <c r="R17" i="21"/>
  <c r="Y16" i="21"/>
  <c r="R16" i="21"/>
  <c r="Y15" i="21"/>
  <c r="R15" i="21"/>
  <c r="Y14" i="21"/>
  <c r="R14" i="21"/>
  <c r="Y13" i="21"/>
  <c r="R13" i="21"/>
  <c r="Y12" i="21"/>
  <c r="R12" i="21"/>
  <c r="Y17" i="19"/>
  <c r="R17" i="19"/>
  <c r="Y16" i="19"/>
  <c r="R16" i="19"/>
  <c r="Y15" i="19"/>
  <c r="R15" i="19"/>
  <c r="Y14" i="19"/>
  <c r="R14" i="19"/>
  <c r="Y13" i="19"/>
  <c r="R13" i="19"/>
  <c r="Y12" i="19"/>
  <c r="R12" i="19"/>
  <c r="Y17" i="20"/>
  <c r="R17" i="20"/>
  <c r="Y16" i="20"/>
  <c r="R16" i="20"/>
  <c r="Y15" i="20"/>
  <c r="R15" i="20"/>
  <c r="Y14" i="20"/>
  <c r="R14" i="20"/>
  <c r="Y13" i="20"/>
  <c r="R13" i="20"/>
  <c r="Y12" i="20"/>
  <c r="R12" i="20"/>
  <c r="H17" i="18"/>
  <c r="A17" i="18"/>
  <c r="H16" i="18"/>
  <c r="A16" i="18"/>
  <c r="H15" i="18"/>
  <c r="A15" i="18"/>
  <c r="H14" i="18"/>
  <c r="A14" i="18"/>
  <c r="H13" i="18"/>
  <c r="A13" i="18"/>
  <c r="H12" i="18"/>
  <c r="A12" i="18"/>
  <c r="Y17" i="17"/>
  <c r="R17" i="17"/>
  <c r="Y16" i="17"/>
  <c r="R16" i="17"/>
  <c r="Y15" i="17"/>
  <c r="R15" i="17"/>
  <c r="Y14" i="17"/>
  <c r="R14" i="17"/>
  <c r="Y13" i="17"/>
  <c r="R13" i="17"/>
  <c r="Y12" i="17"/>
  <c r="R12" i="17"/>
  <c r="Y17" i="16"/>
  <c r="R17" i="16"/>
  <c r="Y16" i="16"/>
  <c r="R16" i="16"/>
  <c r="Y15" i="16"/>
  <c r="R15" i="16"/>
  <c r="Y14" i="16"/>
  <c r="R14" i="16"/>
  <c r="Y13" i="16"/>
  <c r="R13" i="16"/>
  <c r="Y12" i="16"/>
  <c r="R12" i="16"/>
  <c r="Y17" i="14"/>
  <c r="R17" i="14"/>
  <c r="Y16" i="14"/>
  <c r="R16" i="14"/>
  <c r="Y15" i="14"/>
  <c r="R15" i="14"/>
  <c r="Y14" i="14"/>
  <c r="R14" i="14"/>
  <c r="Y13" i="14"/>
  <c r="R13" i="14"/>
  <c r="Y12" i="14"/>
  <c r="R12" i="14"/>
  <c r="Y17" i="15"/>
  <c r="R17" i="15"/>
  <c r="Y16" i="15"/>
  <c r="R16" i="15"/>
  <c r="Y15" i="15"/>
  <c r="R15" i="15"/>
  <c r="Y14" i="15"/>
  <c r="R14" i="15"/>
  <c r="Y13" i="15"/>
  <c r="R13" i="15"/>
  <c r="Y12" i="15"/>
  <c r="R12" i="15"/>
  <c r="Y17" i="13"/>
  <c r="R17" i="13"/>
  <c r="Y16" i="13"/>
  <c r="R16" i="13"/>
  <c r="Y15" i="13"/>
  <c r="R15" i="13"/>
  <c r="Y14" i="13"/>
  <c r="R14" i="13"/>
  <c r="Y13" i="13"/>
  <c r="R13" i="13"/>
  <c r="Y12" i="13"/>
  <c r="R12" i="13"/>
  <c r="Y17" i="12"/>
  <c r="R17" i="12"/>
  <c r="Y16" i="12"/>
  <c r="R16" i="12"/>
  <c r="Y15" i="12"/>
  <c r="R15" i="12"/>
  <c r="Y14" i="12"/>
  <c r="R14" i="12"/>
  <c r="Y13" i="12"/>
  <c r="R13" i="12"/>
  <c r="Y12" i="12"/>
  <c r="R12" i="12"/>
  <c r="Y17" i="11"/>
  <c r="R17" i="11"/>
  <c r="Y16" i="11"/>
  <c r="R16" i="11"/>
  <c r="Y15" i="11"/>
  <c r="R15" i="11"/>
  <c r="Y14" i="11"/>
  <c r="R14" i="11"/>
  <c r="Y13" i="11"/>
  <c r="R13" i="11"/>
  <c r="Y12" i="11"/>
  <c r="R12" i="11"/>
  <c r="Y17" i="10"/>
  <c r="R17" i="10"/>
  <c r="Y16" i="10"/>
  <c r="R16" i="10"/>
  <c r="Y15" i="10"/>
  <c r="R15" i="10"/>
  <c r="Y14" i="10"/>
  <c r="R14" i="10"/>
  <c r="Y13" i="10"/>
  <c r="R13" i="10"/>
  <c r="Y12" i="10"/>
  <c r="R12" i="10"/>
  <c r="Y17" i="9"/>
  <c r="R17" i="9"/>
  <c r="Y16" i="9"/>
  <c r="R16" i="9"/>
  <c r="Y15" i="9"/>
  <c r="R15" i="9"/>
  <c r="Y14" i="9"/>
  <c r="R14" i="9"/>
  <c r="Y13" i="9"/>
  <c r="R13" i="9"/>
  <c r="Y12" i="9"/>
  <c r="R12" i="9"/>
  <c r="Y17" i="8"/>
  <c r="R17" i="8"/>
  <c r="Y16" i="8"/>
  <c r="R16" i="8"/>
  <c r="Y15" i="8"/>
  <c r="R15" i="8"/>
  <c r="Y14" i="8"/>
  <c r="R14" i="8"/>
  <c r="Y13" i="8"/>
  <c r="R13" i="8"/>
  <c r="Y12" i="8"/>
  <c r="R12" i="8"/>
  <c r="Y17" i="7"/>
  <c r="R17" i="7"/>
  <c r="Y16" i="7"/>
  <c r="R16" i="7"/>
  <c r="Y15" i="7"/>
  <c r="R15" i="7"/>
  <c r="Y14" i="7"/>
  <c r="R14" i="7"/>
  <c r="Y13" i="7"/>
  <c r="R13" i="7"/>
  <c r="Y12" i="7"/>
  <c r="R12" i="7"/>
  <c r="Y17" i="6"/>
  <c r="R17" i="6"/>
  <c r="Y16" i="6"/>
  <c r="R16" i="6"/>
  <c r="Y15" i="6"/>
  <c r="R15" i="6"/>
  <c r="Y14" i="6"/>
  <c r="R14" i="6"/>
  <c r="Y13" i="6"/>
  <c r="R13" i="6"/>
  <c r="Y12" i="6"/>
  <c r="R12" i="6"/>
  <c r="H17" i="5"/>
  <c r="A17" i="5"/>
  <c r="H16" i="5"/>
  <c r="A16" i="5"/>
  <c r="H15" i="5"/>
  <c r="A15" i="5"/>
  <c r="H14" i="5"/>
  <c r="A14" i="5"/>
  <c r="H13" i="5"/>
  <c r="A13" i="5"/>
  <c r="H12" i="5"/>
  <c r="A12" i="5"/>
  <c r="Y17" i="4"/>
  <c r="Y16" i="4"/>
  <c r="Y15" i="4"/>
  <c r="Y14" i="4"/>
  <c r="Y13" i="4"/>
  <c r="R17" i="4"/>
  <c r="R16" i="4"/>
  <c r="R15" i="4"/>
  <c r="R14" i="4"/>
  <c r="R13" i="4"/>
  <c r="Y12" i="4"/>
  <c r="R12" i="4"/>
  <c r="BG61" i="2"/>
  <c r="J37" i="2"/>
  <c r="I37" i="2"/>
  <c r="H37" i="2"/>
  <c r="G37" i="2"/>
  <c r="F37" i="2"/>
  <c r="E37" i="2"/>
  <c r="D37" i="2"/>
  <c r="C37" i="2"/>
  <c r="B37" i="2"/>
  <c r="B36" i="2"/>
  <c r="K37" i="2"/>
  <c r="K36" i="2"/>
  <c r="J36" i="2"/>
  <c r="I36" i="2"/>
  <c r="H36" i="2"/>
  <c r="G36" i="2"/>
  <c r="F36" i="2"/>
  <c r="E36" i="2"/>
  <c r="D36" i="2"/>
  <c r="C36" i="2"/>
  <c r="H169" i="3"/>
  <c r="H3" i="87"/>
  <c r="H5" i="9"/>
  <c r="H6" i="9"/>
  <c r="A5" i="9"/>
  <c r="A6" i="9"/>
  <c r="AH3" i="2"/>
  <c r="Y3" i="112"/>
  <c r="Q9" i="112"/>
  <c r="Q8" i="112"/>
  <c r="Q7" i="112"/>
  <c r="Q6" i="112"/>
  <c r="Q4" i="112"/>
  <c r="H3" i="112"/>
  <c r="H2" i="112"/>
  <c r="Y4" i="111"/>
  <c r="Q7" i="111"/>
  <c r="Q8" i="111"/>
  <c r="Q6" i="111"/>
  <c r="Q4" i="111"/>
  <c r="H3" i="111"/>
  <c r="H2" i="111"/>
  <c r="Q6" i="110"/>
  <c r="H3" i="110"/>
  <c r="H2" i="110"/>
  <c r="Q4" i="110"/>
  <c r="BK109" i="2"/>
  <c r="BJ109" i="2"/>
  <c r="BI109" i="2"/>
  <c r="BH109" i="2"/>
  <c r="BG109" i="2"/>
  <c r="BF109" i="2"/>
  <c r="BE109" i="2"/>
  <c r="BD109" i="2"/>
  <c r="BC109" i="2"/>
  <c r="BB109" i="2"/>
  <c r="BA109" i="2"/>
  <c r="AM109" i="2"/>
  <c r="AL109" i="2"/>
  <c r="AH109" i="2"/>
  <c r="AF109" i="2"/>
  <c r="AE109" i="2"/>
  <c r="AD109" i="2"/>
  <c r="Y109" i="2"/>
  <c r="BK108" i="2"/>
  <c r="BJ108" i="2"/>
  <c r="BI108" i="2"/>
  <c r="BH108" i="2"/>
  <c r="BG108" i="2"/>
  <c r="BF108" i="2"/>
  <c r="BE108" i="2"/>
  <c r="BD108" i="2"/>
  <c r="BC108" i="2"/>
  <c r="BB108" i="2"/>
  <c r="BA108" i="2"/>
  <c r="AM108" i="2"/>
  <c r="AL108" i="2"/>
  <c r="AH108" i="2"/>
  <c r="AF108" i="2"/>
  <c r="AE108" i="2"/>
  <c r="AD108" i="2"/>
  <c r="Y108" i="2"/>
  <c r="Q8" i="109"/>
  <c r="H7" i="88"/>
  <c r="H5" i="88"/>
  <c r="A7" i="88"/>
  <c r="Q11" i="109"/>
  <c r="Y7" i="109"/>
  <c r="J11" i="109"/>
  <c r="Q5" i="109"/>
  <c r="Q10" i="109"/>
  <c r="J10" i="109"/>
  <c r="Q9" i="109"/>
  <c r="J9" i="109"/>
  <c r="Q7" i="109"/>
  <c r="Q3" i="109"/>
  <c r="R7" i="109"/>
  <c r="Q8" i="108"/>
  <c r="Q7" i="108"/>
  <c r="Q9" i="108"/>
  <c r="Q4" i="108"/>
  <c r="Q10" i="108"/>
  <c r="J10" i="108"/>
  <c r="AI11" i="107"/>
  <c r="Q7" i="107"/>
  <c r="Q5" i="107"/>
  <c r="H9" i="106"/>
  <c r="H8" i="106"/>
  <c r="H10" i="106"/>
  <c r="A10" i="106"/>
  <c r="A9" i="106"/>
  <c r="A8" i="106"/>
  <c r="H7" i="106"/>
  <c r="A7" i="106"/>
  <c r="H6" i="106"/>
  <c r="H3" i="106"/>
  <c r="H4" i="106"/>
  <c r="Q6" i="106"/>
  <c r="Q7" i="106"/>
  <c r="J7" i="106"/>
  <c r="Q7" i="105"/>
  <c r="AI11" i="105"/>
  <c r="Q6" i="105"/>
  <c r="J7" i="105"/>
  <c r="J6" i="105"/>
  <c r="AA11" i="105"/>
  <c r="Y4" i="105"/>
  <c r="R4" i="105"/>
  <c r="Q5" i="105"/>
  <c r="J5" i="105"/>
  <c r="Q4" i="105"/>
  <c r="J4" i="105"/>
  <c r="AI11" i="104"/>
  <c r="Q4" i="104"/>
  <c r="Q5" i="104"/>
  <c r="J5" i="104"/>
  <c r="J4" i="104"/>
  <c r="AA11" i="104"/>
  <c r="H4" i="103"/>
  <c r="H5" i="103"/>
  <c r="A5" i="103"/>
  <c r="A4" i="103"/>
  <c r="Q4" i="103"/>
  <c r="J4" i="103"/>
  <c r="H3" i="103"/>
  <c r="A3" i="103"/>
  <c r="BK102" i="2"/>
  <c r="BJ102" i="2"/>
  <c r="BI102" i="2"/>
  <c r="BH102" i="2"/>
  <c r="BG102" i="2"/>
  <c r="BF102" i="2"/>
  <c r="BE102" i="2"/>
  <c r="BD102" i="2"/>
  <c r="BC102" i="2"/>
  <c r="BB102" i="2"/>
  <c r="BA102" i="2"/>
  <c r="AM102" i="2"/>
  <c r="AL102" i="2"/>
  <c r="AH102" i="2"/>
  <c r="AF102" i="2"/>
  <c r="AE102" i="2"/>
  <c r="AD102" i="2"/>
  <c r="Y102" i="2"/>
  <c r="H13" i="101"/>
  <c r="Q5" i="101"/>
  <c r="J5" i="101"/>
  <c r="Q4" i="101"/>
  <c r="A13" i="101"/>
  <c r="Q3" i="100"/>
  <c r="Q5" i="100"/>
  <c r="AA38" i="1"/>
  <c r="H3" i="99"/>
  <c r="H5" i="99"/>
  <c r="H6" i="99"/>
  <c r="Y3" i="99"/>
  <c r="Y5" i="74"/>
  <c r="Q3" i="98"/>
  <c r="H4" i="98"/>
  <c r="H5" i="98"/>
  <c r="J3" i="98"/>
  <c r="Q11" i="97"/>
  <c r="J11" i="97"/>
  <c r="Q8" i="97"/>
  <c r="Q10" i="97"/>
  <c r="J10" i="97"/>
  <c r="Y7" i="97"/>
  <c r="H6" i="97"/>
  <c r="Q9" i="97"/>
  <c r="J9" i="97"/>
  <c r="AI11" i="96"/>
  <c r="AA11" i="96"/>
  <c r="H8" i="96"/>
  <c r="A8" i="96"/>
  <c r="Q11" i="96"/>
  <c r="J11" i="96"/>
  <c r="Q10" i="96"/>
  <c r="J10" i="96"/>
  <c r="Q9" i="96"/>
  <c r="J9" i="96"/>
  <c r="Q8" i="96"/>
  <c r="J8" i="96"/>
  <c r="H10" i="95"/>
  <c r="A10" i="95"/>
  <c r="Y7" i="95"/>
  <c r="H9" i="95"/>
  <c r="A9" i="95"/>
  <c r="H8" i="95"/>
  <c r="A8" i="95"/>
  <c r="H11" i="94"/>
  <c r="H3" i="94"/>
  <c r="A11" i="94"/>
  <c r="H5" i="94"/>
  <c r="H10" i="94"/>
  <c r="A10" i="94"/>
  <c r="Q2" i="94"/>
  <c r="AI11" i="93"/>
  <c r="Q7" i="93"/>
  <c r="H3" i="93"/>
  <c r="Q8" i="93"/>
  <c r="Y11" i="93"/>
  <c r="R11" i="93"/>
  <c r="Q10" i="93"/>
  <c r="J10" i="93"/>
  <c r="Q9" i="93"/>
  <c r="J9" i="93"/>
  <c r="Q13" i="88"/>
  <c r="J13" i="88"/>
  <c r="Q12" i="88"/>
  <c r="AA45" i="1"/>
  <c r="AI37" i="1"/>
  <c r="AA36" i="1"/>
  <c r="AA37" i="1"/>
  <c r="H8" i="92"/>
  <c r="A8" i="92"/>
  <c r="Q5" i="92"/>
  <c r="H5" i="92"/>
  <c r="Y8" i="91"/>
  <c r="H3" i="91"/>
  <c r="Q5" i="91"/>
  <c r="AI11" i="91"/>
  <c r="R8" i="91"/>
  <c r="Q9" i="91"/>
  <c r="J9" i="91"/>
  <c r="H6" i="91"/>
  <c r="A6" i="91"/>
  <c r="Q11" i="90"/>
  <c r="J11" i="90"/>
  <c r="H5" i="90"/>
  <c r="A5" i="90"/>
  <c r="Q7" i="90"/>
  <c r="H12" i="90"/>
  <c r="Q5" i="90"/>
  <c r="Q10" i="90"/>
  <c r="J10" i="90"/>
  <c r="Y7" i="90"/>
  <c r="R7" i="90"/>
  <c r="Q9" i="90"/>
  <c r="J9" i="90"/>
  <c r="Y6" i="90"/>
  <c r="R6" i="90"/>
  <c r="Q8" i="90"/>
  <c r="J8" i="90"/>
  <c r="Q3" i="89"/>
  <c r="H4" i="89"/>
  <c r="H2" i="89"/>
  <c r="H9" i="87"/>
  <c r="H7" i="87"/>
  <c r="H6" i="87"/>
  <c r="Q5" i="87"/>
  <c r="H4" i="87"/>
  <c r="A9" i="87"/>
  <c r="Q7" i="87"/>
  <c r="J7" i="87"/>
  <c r="H8" i="87"/>
  <c r="A8" i="87"/>
  <c r="X40" i="1"/>
  <c r="AI11" i="87"/>
  <c r="AA11" i="87"/>
  <c r="A7" i="87"/>
  <c r="Q6" i="87"/>
  <c r="J6" i="87"/>
  <c r="A6" i="87"/>
  <c r="H4" i="86"/>
  <c r="Q8" i="86"/>
  <c r="H5" i="86"/>
  <c r="A5" i="86"/>
  <c r="BK84" i="2"/>
  <c r="BJ84" i="2"/>
  <c r="BI84" i="2"/>
  <c r="BH84" i="2"/>
  <c r="BG84" i="2"/>
  <c r="BF84" i="2"/>
  <c r="BE84" i="2"/>
  <c r="BD84" i="2"/>
  <c r="BC84" i="2"/>
  <c r="BB84" i="2"/>
  <c r="BA84" i="2"/>
  <c r="AM84" i="2"/>
  <c r="AL84" i="2"/>
  <c r="AH84" i="2"/>
  <c r="AF84" i="2"/>
  <c r="AE84" i="2"/>
  <c r="AD84" i="2"/>
  <c r="Y84" i="2"/>
  <c r="BK83" i="2"/>
  <c r="BJ83" i="2"/>
  <c r="BI83" i="2"/>
  <c r="BH83" i="2"/>
  <c r="BG83" i="2"/>
  <c r="BF83" i="2"/>
  <c r="BE83" i="2"/>
  <c r="BD83" i="2"/>
  <c r="BC83" i="2"/>
  <c r="BB83" i="2"/>
  <c r="BA83" i="2"/>
  <c r="AM83" i="2"/>
  <c r="AL83" i="2"/>
  <c r="AH83" i="2"/>
  <c r="AF83" i="2"/>
  <c r="AE83" i="2"/>
  <c r="AD83" i="2"/>
  <c r="Y83" i="2"/>
  <c r="AA3" i="82"/>
  <c r="AI3" i="82"/>
  <c r="AI4" i="79"/>
  <c r="AA4" i="79"/>
  <c r="AI3" i="78"/>
  <c r="AI3" i="64"/>
  <c r="AI3" i="63"/>
  <c r="AI4" i="59"/>
  <c r="AI4" i="80"/>
  <c r="AI4" i="81"/>
  <c r="A4" i="67"/>
  <c r="A15" i="43"/>
  <c r="A13" i="43"/>
  <c r="A12" i="43"/>
  <c r="A11" i="43"/>
  <c r="A5" i="24"/>
  <c r="A8" i="17"/>
  <c r="A7" i="17"/>
  <c r="AI4" i="16"/>
  <c r="A4" i="10"/>
  <c r="H13" i="84"/>
  <c r="A13" i="84"/>
  <c r="Y9" i="84"/>
  <c r="R9" i="84"/>
  <c r="Y7" i="84"/>
  <c r="Q7" i="84"/>
  <c r="J7" i="84"/>
  <c r="Y6" i="84"/>
  <c r="Q6" i="84"/>
  <c r="Y5" i="84"/>
  <c r="Y6" i="83"/>
  <c r="Q6" i="83"/>
  <c r="Y7" i="83"/>
  <c r="H13" i="83"/>
  <c r="A13" i="83"/>
  <c r="Y5" i="83"/>
  <c r="Y9" i="83"/>
  <c r="R9" i="83"/>
  <c r="Q7" i="83"/>
  <c r="J7" i="83"/>
  <c r="H13" i="82"/>
  <c r="A13" i="82"/>
  <c r="Y9" i="82"/>
  <c r="R9" i="82"/>
  <c r="Q3" i="82"/>
  <c r="AI11" i="79"/>
  <c r="Q7" i="79"/>
  <c r="Q5" i="79"/>
  <c r="Y5" i="79"/>
  <c r="H12" i="78"/>
  <c r="Q11" i="72"/>
  <c r="Q10" i="72"/>
  <c r="Q9" i="72"/>
  <c r="J11" i="72"/>
  <c r="J10" i="72"/>
  <c r="J9" i="72"/>
  <c r="AA11" i="72"/>
  <c r="AI11" i="72"/>
  <c r="Q7" i="74"/>
  <c r="H12" i="74"/>
  <c r="Q8" i="71"/>
  <c r="J8" i="71"/>
  <c r="AI11" i="71"/>
  <c r="AA11" i="71"/>
  <c r="H13" i="70"/>
  <c r="H12" i="70"/>
  <c r="A13" i="70"/>
  <c r="Q8" i="69"/>
  <c r="Q7" i="69"/>
  <c r="H13" i="69"/>
  <c r="H12" i="69"/>
  <c r="Q9" i="68"/>
  <c r="Q8" i="68"/>
  <c r="Q7" i="68"/>
  <c r="Q9" i="67"/>
  <c r="Q8" i="67"/>
  <c r="Q7" i="67"/>
  <c r="J9" i="67"/>
  <c r="J8" i="67"/>
  <c r="H12" i="67"/>
  <c r="Q10" i="73"/>
  <c r="Q9" i="73"/>
  <c r="Q8" i="73"/>
  <c r="Q7" i="73"/>
  <c r="J10" i="73"/>
  <c r="J9" i="73"/>
  <c r="H12" i="73"/>
  <c r="Q9" i="66"/>
  <c r="Q8" i="66"/>
  <c r="J9" i="66"/>
  <c r="Q10" i="65"/>
  <c r="Q8" i="65"/>
  <c r="J10" i="65"/>
  <c r="AI11" i="65"/>
  <c r="H12" i="65"/>
  <c r="A12" i="65"/>
  <c r="Q11" i="64"/>
  <c r="Q10" i="64"/>
  <c r="Q9" i="64"/>
  <c r="J11" i="64"/>
  <c r="Q8" i="63"/>
  <c r="Q8" i="62"/>
  <c r="Q7" i="62"/>
  <c r="J8" i="62"/>
  <c r="J7" i="62"/>
  <c r="Q11" i="60"/>
  <c r="J11" i="60"/>
  <c r="Q8" i="59"/>
  <c r="Q3" i="59"/>
  <c r="Q8" i="80"/>
  <c r="Q10" i="81"/>
  <c r="J10" i="81"/>
  <c r="Y5" i="81"/>
  <c r="BK58" i="2"/>
  <c r="BJ58" i="2"/>
  <c r="BI58" i="2"/>
  <c r="BH58" i="2"/>
  <c r="BG58" i="2"/>
  <c r="BF58" i="2"/>
  <c r="BE58" i="2"/>
  <c r="BD58" i="2"/>
  <c r="BC58" i="2"/>
  <c r="BB58" i="2"/>
  <c r="BA58" i="2"/>
  <c r="AM58" i="2"/>
  <c r="AL58" i="2"/>
  <c r="AH58" i="2"/>
  <c r="AF58" i="2"/>
  <c r="AE58" i="2"/>
  <c r="AD58" i="2"/>
  <c r="Y58" i="2"/>
  <c r="BK57" i="2"/>
  <c r="BJ57" i="2"/>
  <c r="BI57" i="2"/>
  <c r="BH57" i="2"/>
  <c r="BG57" i="2"/>
  <c r="BF57" i="2"/>
  <c r="BE57" i="2"/>
  <c r="BD57" i="2"/>
  <c r="BC57" i="2"/>
  <c r="BB57" i="2"/>
  <c r="BA57" i="2"/>
  <c r="AM57" i="2"/>
  <c r="AL57" i="2"/>
  <c r="AH57" i="2"/>
  <c r="AF57" i="2"/>
  <c r="AE57" i="2"/>
  <c r="AD57" i="2"/>
  <c r="Y57" i="2"/>
  <c r="Q14" i="58"/>
  <c r="Q13" i="58"/>
  <c r="Q12" i="58"/>
  <c r="Q11" i="58"/>
  <c r="Q10" i="58"/>
  <c r="Q9" i="58"/>
  <c r="J14" i="58"/>
  <c r="J13" i="58"/>
  <c r="J12" i="58"/>
  <c r="J11" i="58"/>
  <c r="J10" i="58"/>
  <c r="J9" i="58"/>
  <c r="AI11" i="58"/>
  <c r="Q10" i="55"/>
  <c r="Q7" i="55"/>
  <c r="H12" i="55"/>
  <c r="A12" i="55"/>
  <c r="H12" i="54"/>
  <c r="A12" i="54"/>
  <c r="H12" i="53"/>
  <c r="A12" i="53"/>
  <c r="H12" i="52"/>
  <c r="A12" i="52"/>
  <c r="Q8" i="51"/>
  <c r="H12" i="51"/>
  <c r="A12" i="51"/>
  <c r="Q8" i="50"/>
  <c r="Q12" i="49"/>
  <c r="Q11" i="49"/>
  <c r="Q8" i="49"/>
  <c r="Q7" i="49"/>
  <c r="J12" i="49"/>
  <c r="J11" i="49"/>
  <c r="AI11" i="49"/>
  <c r="AA40" i="1"/>
  <c r="AA43" i="1"/>
  <c r="AA41" i="1"/>
  <c r="AA46" i="1"/>
  <c r="AA42" i="1"/>
  <c r="AA39" i="1"/>
  <c r="Y7" i="78"/>
  <c r="R7" i="78"/>
  <c r="Q6" i="78"/>
  <c r="H4" i="78"/>
  <c r="A4" i="78"/>
  <c r="H3" i="78"/>
  <c r="H3" i="74"/>
  <c r="A3" i="74"/>
  <c r="Q7" i="71"/>
  <c r="H3" i="71"/>
  <c r="Y9" i="70"/>
  <c r="R9" i="70"/>
  <c r="Y8" i="70"/>
  <c r="R8" i="70"/>
  <c r="Y6" i="70"/>
  <c r="Y5" i="70"/>
  <c r="Q6" i="68"/>
  <c r="Q6" i="67"/>
  <c r="H4" i="67"/>
  <c r="Q6" i="73"/>
  <c r="H3" i="73"/>
  <c r="A3" i="73"/>
  <c r="Y6" i="66"/>
  <c r="R6" i="66"/>
  <c r="H6" i="66"/>
  <c r="Q5" i="66"/>
  <c r="H5" i="66"/>
  <c r="Q4" i="66"/>
  <c r="H4" i="66"/>
  <c r="Y9" i="65"/>
  <c r="R9" i="65"/>
  <c r="Y8" i="65"/>
  <c r="R8" i="65"/>
  <c r="Y7" i="65"/>
  <c r="R7" i="65"/>
  <c r="Y7" i="64"/>
  <c r="R7" i="64"/>
  <c r="H3" i="64"/>
  <c r="Y10" i="63"/>
  <c r="R10" i="63"/>
  <c r="Y9" i="63"/>
  <c r="R9" i="63"/>
  <c r="Y8" i="63"/>
  <c r="Y7" i="63"/>
  <c r="H3" i="63"/>
  <c r="A3" i="63"/>
  <c r="Y11" i="62"/>
  <c r="R11" i="62"/>
  <c r="Y5" i="62"/>
  <c r="Q8" i="61"/>
  <c r="H4" i="61"/>
  <c r="A4" i="61"/>
  <c r="Q3" i="60"/>
  <c r="H3" i="57"/>
  <c r="A3" i="57"/>
  <c r="Q10" i="56"/>
  <c r="Q9" i="56"/>
  <c r="Q8" i="56"/>
  <c r="Y6" i="56"/>
  <c r="Y11" i="54"/>
  <c r="R11" i="54"/>
  <c r="Y10" i="54"/>
  <c r="R10" i="54"/>
  <c r="Y9" i="54"/>
  <c r="R9" i="54"/>
  <c r="H5" i="54"/>
  <c r="A5" i="54"/>
  <c r="Y11" i="53"/>
  <c r="R11" i="53"/>
  <c r="Y10" i="53"/>
  <c r="R10" i="53"/>
  <c r="Y9" i="53"/>
  <c r="R9" i="53"/>
  <c r="H5" i="53"/>
  <c r="A5" i="53"/>
  <c r="Y11" i="52"/>
  <c r="R11" i="52"/>
  <c r="Y10" i="52"/>
  <c r="R10" i="52"/>
  <c r="Y9" i="52"/>
  <c r="R9" i="52"/>
  <c r="H5" i="52"/>
  <c r="A5" i="52"/>
  <c r="Y9" i="51"/>
  <c r="Y8" i="51"/>
  <c r="H3" i="51"/>
  <c r="A3" i="51"/>
  <c r="Y6" i="50"/>
  <c r="H3" i="50"/>
  <c r="A3" i="50"/>
  <c r="Q15" i="47"/>
  <c r="J15" i="47"/>
  <c r="Q14" i="47"/>
  <c r="J14" i="47"/>
  <c r="Q13" i="47"/>
  <c r="J13" i="47"/>
  <c r="Q12" i="47"/>
  <c r="Y11" i="47"/>
  <c r="R11" i="47"/>
  <c r="Y10" i="47"/>
  <c r="R10" i="47"/>
  <c r="Y9" i="47"/>
  <c r="R9" i="47"/>
  <c r="Y8" i="47"/>
  <c r="R8" i="47"/>
  <c r="Y6" i="47"/>
  <c r="H5" i="47"/>
  <c r="A5" i="47"/>
  <c r="Y4" i="47"/>
  <c r="H4" i="47"/>
  <c r="A4" i="47"/>
  <c r="Y3" i="47"/>
  <c r="Q2" i="47"/>
  <c r="Q14" i="46"/>
  <c r="J14" i="46"/>
  <c r="Q13" i="46"/>
  <c r="J13" i="46"/>
  <c r="Q12" i="46"/>
  <c r="Y4" i="46"/>
  <c r="R4" i="46"/>
  <c r="H3" i="46"/>
  <c r="H7" i="45"/>
  <c r="A7" i="45"/>
  <c r="H6" i="45"/>
  <c r="Q5" i="45"/>
  <c r="J5" i="45"/>
  <c r="Q4" i="45"/>
  <c r="J4" i="45"/>
  <c r="H4" i="45"/>
  <c r="Q3" i="45"/>
  <c r="H3" i="45"/>
  <c r="Q14" i="44"/>
  <c r="J14" i="44"/>
  <c r="Q12" i="44"/>
  <c r="Y6" i="44"/>
  <c r="R6" i="44"/>
  <c r="H6" i="44"/>
  <c r="A6" i="44"/>
  <c r="H4" i="44"/>
  <c r="Q2" i="44"/>
  <c r="H15" i="43"/>
  <c r="H14" i="43"/>
  <c r="A14" i="43"/>
  <c r="H13" i="43"/>
  <c r="H12" i="43"/>
  <c r="H11" i="43"/>
  <c r="H8" i="43"/>
  <c r="H7" i="43"/>
  <c r="H5" i="43"/>
  <c r="Y5" i="41"/>
  <c r="R5" i="41"/>
  <c r="Y4" i="41"/>
  <c r="R4" i="41"/>
  <c r="Q3" i="41"/>
  <c r="J3" i="41"/>
  <c r="H5" i="38"/>
  <c r="A5" i="38"/>
  <c r="H4" i="38"/>
  <c r="A4" i="38"/>
  <c r="Q12" i="37"/>
  <c r="H4" i="37"/>
  <c r="A4" i="37"/>
  <c r="Q3" i="37"/>
  <c r="J3" i="37"/>
  <c r="Q2" i="37"/>
  <c r="J2" i="37"/>
  <c r="Y5" i="36"/>
  <c r="Y4" i="36"/>
  <c r="Y3" i="36"/>
  <c r="Q3" i="36"/>
  <c r="J3" i="36"/>
  <c r="H3" i="36"/>
  <c r="A3" i="36"/>
  <c r="Y2" i="36"/>
  <c r="Q2" i="36"/>
  <c r="Q12" i="35"/>
  <c r="H5" i="35"/>
  <c r="A5" i="35"/>
  <c r="H4" i="35"/>
  <c r="A4" i="35"/>
  <c r="Q3" i="35"/>
  <c r="J3" i="35"/>
  <c r="H6" i="34"/>
  <c r="H5" i="34"/>
  <c r="H4" i="34"/>
  <c r="H3" i="34"/>
  <c r="H12" i="33"/>
  <c r="A12" i="33"/>
  <c r="H11" i="33"/>
  <c r="A11" i="33"/>
  <c r="H10" i="33"/>
  <c r="A10" i="33"/>
  <c r="H9" i="33"/>
  <c r="A9" i="33"/>
  <c r="H8" i="33"/>
  <c r="A8" i="33"/>
  <c r="H7" i="33"/>
  <c r="A7" i="33"/>
  <c r="H6" i="33"/>
  <c r="H3" i="33"/>
  <c r="Y2" i="33"/>
  <c r="Y5" i="32"/>
  <c r="R5" i="32"/>
  <c r="Y4" i="32"/>
  <c r="H4" i="32"/>
  <c r="A4" i="32"/>
  <c r="Q5" i="31"/>
  <c r="Q4" i="31"/>
  <c r="H6" i="30"/>
  <c r="A6" i="30"/>
  <c r="Y5" i="30"/>
  <c r="R5" i="30"/>
  <c r="H5" i="30"/>
  <c r="A5" i="30"/>
  <c r="H4" i="30"/>
  <c r="A4" i="30"/>
  <c r="H6" i="29"/>
  <c r="A6" i="29"/>
  <c r="H5" i="29"/>
  <c r="H4" i="29"/>
  <c r="H3" i="29"/>
  <c r="H8" i="28"/>
  <c r="A8" i="28"/>
  <c r="H7" i="28"/>
  <c r="A7" i="28"/>
  <c r="H6" i="28"/>
  <c r="A6" i="28"/>
  <c r="H5" i="28"/>
  <c r="H4" i="28"/>
  <c r="H3" i="28"/>
  <c r="Y5" i="27"/>
  <c r="Y4" i="27"/>
  <c r="H4" i="27"/>
  <c r="A4" i="27"/>
  <c r="Y3" i="27"/>
  <c r="Q3" i="27"/>
  <c r="J3" i="27"/>
  <c r="Y2" i="27"/>
  <c r="Q2" i="27"/>
  <c r="H5" i="26"/>
  <c r="A5" i="26"/>
  <c r="H4" i="26"/>
  <c r="A4" i="26"/>
  <c r="H5" i="25"/>
  <c r="A5" i="25"/>
  <c r="H4" i="25"/>
  <c r="A4" i="25"/>
  <c r="Q14" i="24"/>
  <c r="J14" i="24"/>
  <c r="Q13" i="24"/>
  <c r="J13" i="24"/>
  <c r="Q12" i="24"/>
  <c r="J12" i="24"/>
  <c r="Q6" i="24"/>
  <c r="J6" i="24"/>
  <c r="Q5" i="24"/>
  <c r="J5" i="24"/>
  <c r="H5" i="24"/>
  <c r="Q4" i="24"/>
  <c r="J4" i="24"/>
  <c r="Q6" i="23"/>
  <c r="J6" i="23"/>
  <c r="H6" i="23"/>
  <c r="A6" i="23"/>
  <c r="Q5" i="23"/>
  <c r="J5" i="23"/>
  <c r="H6" i="22"/>
  <c r="A6" i="22"/>
  <c r="H5" i="22"/>
  <c r="A5" i="22"/>
  <c r="Q4" i="22"/>
  <c r="J4" i="22"/>
  <c r="H2" i="22"/>
  <c r="Y7" i="20"/>
  <c r="R7" i="20"/>
  <c r="Q6" i="20"/>
  <c r="Q5" i="20"/>
  <c r="Q4" i="20"/>
  <c r="H4" i="20"/>
  <c r="A4" i="20"/>
  <c r="Q3" i="20"/>
  <c r="H3" i="20"/>
  <c r="Y2" i="20"/>
  <c r="H5" i="18"/>
  <c r="A5" i="18"/>
  <c r="H4" i="18"/>
  <c r="A4" i="18"/>
  <c r="Q12" i="17"/>
  <c r="J12" i="17"/>
  <c r="H8" i="17"/>
  <c r="H7" i="17"/>
  <c r="H6" i="17"/>
  <c r="H3" i="17"/>
  <c r="Y2" i="17"/>
  <c r="Q7" i="16"/>
  <c r="J7" i="16"/>
  <c r="J6" i="16"/>
  <c r="Y5" i="16"/>
  <c r="Q3" i="16"/>
  <c r="H5" i="14"/>
  <c r="A5" i="14"/>
  <c r="H3" i="14"/>
  <c r="H4" i="15"/>
  <c r="H6" i="13"/>
  <c r="A6" i="13"/>
  <c r="H5" i="13"/>
  <c r="A5" i="13"/>
  <c r="H4" i="13"/>
  <c r="H5" i="12"/>
  <c r="A5" i="12"/>
  <c r="H4" i="12"/>
  <c r="H2" i="12"/>
  <c r="H7" i="11"/>
  <c r="A7" i="11"/>
  <c r="Y4" i="11"/>
  <c r="R4" i="11"/>
  <c r="Q3" i="11"/>
  <c r="J3" i="11"/>
  <c r="Q2" i="11"/>
  <c r="J2" i="11"/>
  <c r="H5" i="10"/>
  <c r="A5" i="10"/>
  <c r="H4" i="10"/>
  <c r="H8" i="8"/>
  <c r="A8" i="8"/>
  <c r="H7" i="8"/>
  <c r="H4" i="8"/>
  <c r="H3" i="8"/>
  <c r="H4" i="6"/>
  <c r="H3" i="6"/>
  <c r="H2" i="6"/>
  <c r="H4" i="4"/>
  <c r="A4" i="4"/>
  <c r="G205" i="3"/>
  <c r="G196" i="3"/>
  <c r="G195" i="3"/>
  <c r="G194" i="3"/>
  <c r="G191" i="3"/>
  <c r="G189" i="3"/>
  <c r="G188" i="3"/>
  <c r="G187" i="3"/>
  <c r="G184" i="3"/>
  <c r="H181" i="3"/>
  <c r="G181" i="3"/>
  <c r="F181" i="3"/>
  <c r="E181" i="3"/>
  <c r="D181" i="3"/>
  <c r="G179" i="3"/>
  <c r="G143" i="3"/>
  <c r="G74" i="3"/>
  <c r="G58" i="3"/>
  <c r="G16" i="3"/>
  <c r="BK107" i="2"/>
  <c r="BJ107" i="2"/>
  <c r="BI107" i="2"/>
  <c r="BH107" i="2"/>
  <c r="BG107" i="2"/>
  <c r="BF107" i="2"/>
  <c r="BE107" i="2"/>
  <c r="BD107" i="2"/>
  <c r="BC107" i="2"/>
  <c r="BB107" i="2"/>
  <c r="BA107" i="2"/>
  <c r="AM107" i="2"/>
  <c r="AL107" i="2"/>
  <c r="AH107" i="2"/>
  <c r="AF107" i="2"/>
  <c r="AE107" i="2"/>
  <c r="AD107" i="2"/>
  <c r="Y107" i="2"/>
  <c r="BK106" i="2"/>
  <c r="BJ106" i="2"/>
  <c r="BI106" i="2"/>
  <c r="BH106" i="2"/>
  <c r="BG106" i="2"/>
  <c r="BF106" i="2"/>
  <c r="BE106" i="2"/>
  <c r="BD106" i="2"/>
  <c r="BC106" i="2"/>
  <c r="BB106" i="2"/>
  <c r="BA106" i="2"/>
  <c r="AL106" i="2"/>
  <c r="AH106" i="2"/>
  <c r="AF106" i="2"/>
  <c r="AE106" i="2"/>
  <c r="AD106" i="2"/>
  <c r="Y106" i="2"/>
  <c r="AH7" i="1"/>
  <c r="BK105" i="2"/>
  <c r="BJ105" i="2"/>
  <c r="BI105" i="2"/>
  <c r="BH105" i="2"/>
  <c r="BG105" i="2"/>
  <c r="BF105" i="2"/>
  <c r="BE105" i="2"/>
  <c r="BD105" i="2"/>
  <c r="BC105" i="2"/>
  <c r="BB105" i="2"/>
  <c r="BA105" i="2"/>
  <c r="AM105" i="2"/>
  <c r="AL105" i="2"/>
  <c r="AH105" i="2"/>
  <c r="AF105" i="2"/>
  <c r="AE105" i="2"/>
  <c r="AD105" i="2"/>
  <c r="Y105" i="2"/>
  <c r="BK104" i="2"/>
  <c r="BJ104" i="2"/>
  <c r="BI104" i="2"/>
  <c r="BH104" i="2"/>
  <c r="BG104" i="2"/>
  <c r="BF104" i="2"/>
  <c r="BE104" i="2"/>
  <c r="BD104" i="2"/>
  <c r="BC104" i="2"/>
  <c r="BB104" i="2"/>
  <c r="BA104" i="2"/>
  <c r="AM104" i="2"/>
  <c r="AL104" i="2"/>
  <c r="AI104" i="2"/>
  <c r="AH104" i="2"/>
  <c r="AF104" i="2"/>
  <c r="AE104" i="2"/>
  <c r="AD104" i="2"/>
  <c r="Y104" i="2"/>
  <c r="BK103" i="2"/>
  <c r="BJ103" i="2"/>
  <c r="BI103" i="2"/>
  <c r="BH103" i="2"/>
  <c r="BG103" i="2"/>
  <c r="BF103" i="2"/>
  <c r="BE103" i="2"/>
  <c r="BD103" i="2"/>
  <c r="BC103" i="2"/>
  <c r="BB103" i="2"/>
  <c r="BA103" i="2"/>
  <c r="AM103" i="2"/>
  <c r="AL103" i="2"/>
  <c r="AH103" i="2"/>
  <c r="AF103" i="2"/>
  <c r="AE103" i="2"/>
  <c r="AD103" i="2"/>
  <c r="Y103" i="2"/>
  <c r="BK101" i="2"/>
  <c r="BJ101" i="2"/>
  <c r="BI101" i="2"/>
  <c r="BH101" i="2"/>
  <c r="BG101" i="2"/>
  <c r="BF101" i="2"/>
  <c r="BE101" i="2"/>
  <c r="BD101" i="2"/>
  <c r="BC101" i="2"/>
  <c r="BB101" i="2"/>
  <c r="BA101" i="2"/>
  <c r="AM101" i="2"/>
  <c r="AL101" i="2"/>
  <c r="AH101" i="2"/>
  <c r="AF101" i="2"/>
  <c r="AE101" i="2"/>
  <c r="AD101" i="2"/>
  <c r="Y101" i="2"/>
  <c r="BK100" i="2"/>
  <c r="BJ100" i="2"/>
  <c r="BI100" i="2"/>
  <c r="BH100" i="2"/>
  <c r="BG100" i="2"/>
  <c r="BF100" i="2"/>
  <c r="BE100" i="2"/>
  <c r="BD100" i="2"/>
  <c r="BC100" i="2"/>
  <c r="BB100" i="2"/>
  <c r="BA100" i="2"/>
  <c r="AM100" i="2"/>
  <c r="AL100" i="2"/>
  <c r="AH100" i="2"/>
  <c r="AF100" i="2"/>
  <c r="AE100" i="2"/>
  <c r="AD100" i="2"/>
  <c r="Y100" i="2"/>
  <c r="BK99" i="2"/>
  <c r="BJ99" i="2"/>
  <c r="BI99" i="2"/>
  <c r="BH99" i="2"/>
  <c r="BG99" i="2"/>
  <c r="BF99" i="2"/>
  <c r="BE99" i="2"/>
  <c r="BD99" i="2"/>
  <c r="BC99" i="2"/>
  <c r="BB99" i="2"/>
  <c r="BA99" i="2"/>
  <c r="AM99" i="2"/>
  <c r="AL99" i="2"/>
  <c r="AI99" i="2"/>
  <c r="AH99" i="2"/>
  <c r="AF99" i="2"/>
  <c r="AE99" i="2"/>
  <c r="AD99" i="2"/>
  <c r="Y99" i="2"/>
  <c r="BK98" i="2"/>
  <c r="BJ98" i="2"/>
  <c r="BI98" i="2"/>
  <c r="BH98" i="2"/>
  <c r="BG98" i="2"/>
  <c r="BF98" i="2"/>
  <c r="BE98" i="2"/>
  <c r="BD98" i="2"/>
  <c r="BC98" i="2"/>
  <c r="BB98" i="2"/>
  <c r="BA98" i="2"/>
  <c r="AM98" i="2"/>
  <c r="AL98" i="2"/>
  <c r="AH98" i="2"/>
  <c r="AF98" i="2"/>
  <c r="AE98" i="2"/>
  <c r="AD98" i="2"/>
  <c r="Y98" i="2"/>
  <c r="BK97" i="2"/>
  <c r="BJ97" i="2"/>
  <c r="BI97" i="2"/>
  <c r="BH97" i="2"/>
  <c r="BG97" i="2"/>
  <c r="BE97" i="2"/>
  <c r="BD97" i="2"/>
  <c r="BC97" i="2"/>
  <c r="BB97" i="2"/>
  <c r="BA97" i="2"/>
  <c r="AL97" i="2"/>
  <c r="AI97" i="2"/>
  <c r="AH97" i="2"/>
  <c r="AF97" i="2"/>
  <c r="AE97" i="2"/>
  <c r="AD97" i="2"/>
  <c r="Y97" i="2"/>
  <c r="BK96" i="2"/>
  <c r="BJ96" i="2"/>
  <c r="BI96" i="2"/>
  <c r="BH96" i="2"/>
  <c r="BG96" i="2"/>
  <c r="BF96" i="2"/>
  <c r="BE96" i="2"/>
  <c r="BD96" i="2"/>
  <c r="BC96" i="2"/>
  <c r="BB96" i="2"/>
  <c r="BA96" i="2"/>
  <c r="AL96" i="2"/>
  <c r="AI96" i="2"/>
  <c r="AH96" i="2"/>
  <c r="AF96" i="2"/>
  <c r="AE96" i="2"/>
  <c r="AD96" i="2"/>
  <c r="Y96" i="2"/>
  <c r="BK95" i="2"/>
  <c r="BJ95" i="2"/>
  <c r="BI95" i="2"/>
  <c r="BH95" i="2"/>
  <c r="BG95" i="2"/>
  <c r="BF95" i="2"/>
  <c r="BE95" i="2"/>
  <c r="BD95" i="2"/>
  <c r="BC95" i="2"/>
  <c r="BB95" i="2"/>
  <c r="BA95" i="2"/>
  <c r="AM95" i="2"/>
  <c r="AL95" i="2"/>
  <c r="AH95" i="2"/>
  <c r="AF95" i="2"/>
  <c r="AE95" i="2"/>
  <c r="AD95" i="2"/>
  <c r="Y95" i="2"/>
  <c r="BK94" i="2"/>
  <c r="BJ94" i="2"/>
  <c r="BI94" i="2"/>
  <c r="BH94" i="2"/>
  <c r="BG94" i="2"/>
  <c r="BF94" i="2"/>
  <c r="BE94" i="2"/>
  <c r="BD94" i="2"/>
  <c r="BC94" i="2"/>
  <c r="BB94" i="2"/>
  <c r="BA94" i="2"/>
  <c r="AM94" i="2"/>
  <c r="AL94" i="2"/>
  <c r="AH94" i="2"/>
  <c r="AF94" i="2"/>
  <c r="AE94" i="2"/>
  <c r="AD94" i="2"/>
  <c r="Y94" i="2"/>
  <c r="BK93" i="2"/>
  <c r="BJ93" i="2"/>
  <c r="BI93" i="2"/>
  <c r="BH93" i="2"/>
  <c r="BG93" i="2"/>
  <c r="BF93" i="2"/>
  <c r="BE93" i="2"/>
  <c r="BD93" i="2"/>
  <c r="BC93" i="2"/>
  <c r="BB93" i="2"/>
  <c r="BA93" i="2"/>
  <c r="AM93" i="2"/>
  <c r="AL93" i="2"/>
  <c r="AH93" i="2"/>
  <c r="AF93" i="2"/>
  <c r="AE93" i="2"/>
  <c r="AD93" i="2"/>
  <c r="Y93" i="2"/>
  <c r="BK92" i="2"/>
  <c r="BJ92" i="2"/>
  <c r="BI92" i="2"/>
  <c r="BH92" i="2"/>
  <c r="BG92" i="2"/>
  <c r="BF92" i="2"/>
  <c r="BE92" i="2"/>
  <c r="BD92" i="2"/>
  <c r="BC92" i="2"/>
  <c r="BB92" i="2"/>
  <c r="BA92" i="2"/>
  <c r="AM92" i="2"/>
  <c r="AL92" i="2"/>
  <c r="AH92" i="2"/>
  <c r="AF92" i="2"/>
  <c r="AE92" i="2"/>
  <c r="AD92" i="2"/>
  <c r="Y92" i="2"/>
  <c r="BK91" i="2"/>
  <c r="BJ91" i="2"/>
  <c r="BI91" i="2"/>
  <c r="BH91" i="2"/>
  <c r="BG91" i="2"/>
  <c r="BF91" i="2"/>
  <c r="BE91" i="2"/>
  <c r="BD91" i="2"/>
  <c r="BC91" i="2"/>
  <c r="BB91" i="2"/>
  <c r="BA91" i="2"/>
  <c r="AM91" i="2"/>
  <c r="AL91" i="2"/>
  <c r="AH91" i="2"/>
  <c r="AF91" i="2"/>
  <c r="AE91" i="2"/>
  <c r="AD91" i="2"/>
  <c r="Y91" i="2"/>
  <c r="BK90" i="2"/>
  <c r="BJ90" i="2"/>
  <c r="BI90" i="2"/>
  <c r="BH90" i="2"/>
  <c r="BG90" i="2"/>
  <c r="BF90" i="2"/>
  <c r="BE90" i="2"/>
  <c r="BD90" i="2"/>
  <c r="BC90" i="2"/>
  <c r="BB90" i="2"/>
  <c r="BA90" i="2"/>
  <c r="AM90" i="2"/>
  <c r="AL90" i="2"/>
  <c r="AH90" i="2"/>
  <c r="AF90" i="2"/>
  <c r="AE90" i="2"/>
  <c r="AD90" i="2"/>
  <c r="Y90" i="2"/>
  <c r="BK89" i="2"/>
  <c r="BJ89" i="2"/>
  <c r="BI89" i="2"/>
  <c r="BH89" i="2"/>
  <c r="BG89" i="2"/>
  <c r="BF89" i="2"/>
  <c r="BE89" i="2"/>
  <c r="BD89" i="2"/>
  <c r="BC89" i="2"/>
  <c r="BB89" i="2"/>
  <c r="BA89" i="2"/>
  <c r="AM89" i="2"/>
  <c r="AL89" i="2"/>
  <c r="AH89" i="2"/>
  <c r="AF89" i="2"/>
  <c r="AE89" i="2"/>
  <c r="AD89" i="2"/>
  <c r="Y89" i="2"/>
  <c r="BK88" i="2"/>
  <c r="BJ88" i="2"/>
  <c r="BI88" i="2"/>
  <c r="BH88" i="2"/>
  <c r="BG88" i="2"/>
  <c r="BF88" i="2"/>
  <c r="BE88" i="2"/>
  <c r="BD88" i="2"/>
  <c r="BC88" i="2"/>
  <c r="BB88" i="2"/>
  <c r="BA88" i="2"/>
  <c r="AM88" i="2"/>
  <c r="AL88" i="2"/>
  <c r="AH88" i="2"/>
  <c r="AF88" i="2"/>
  <c r="AE88" i="2"/>
  <c r="AD88" i="2"/>
  <c r="Y88" i="2"/>
  <c r="BK87" i="2"/>
  <c r="BJ87" i="2"/>
  <c r="BI87" i="2"/>
  <c r="BH87" i="2"/>
  <c r="BG87" i="2"/>
  <c r="BF87" i="2"/>
  <c r="BE87" i="2"/>
  <c r="BD87" i="2"/>
  <c r="BC87" i="2"/>
  <c r="BB87" i="2"/>
  <c r="BA87" i="2"/>
  <c r="AM87" i="2"/>
  <c r="AL87" i="2"/>
  <c r="AH87" i="2"/>
  <c r="AF87" i="2"/>
  <c r="AE87" i="2"/>
  <c r="AD87" i="2"/>
  <c r="Y87" i="2"/>
  <c r="BK86" i="2"/>
  <c r="BJ86" i="2"/>
  <c r="BI86" i="2"/>
  <c r="BH86" i="2"/>
  <c r="BG86" i="2"/>
  <c r="BF86" i="2"/>
  <c r="BE86" i="2"/>
  <c r="BD86" i="2"/>
  <c r="BC86" i="2"/>
  <c r="BB86" i="2"/>
  <c r="BA86" i="2"/>
  <c r="AM86" i="2"/>
  <c r="AL86" i="2"/>
  <c r="AH86" i="2"/>
  <c r="AF86" i="2"/>
  <c r="AE86" i="2"/>
  <c r="AD86" i="2"/>
  <c r="Y86" i="2"/>
  <c r="BK85" i="2"/>
  <c r="BJ85" i="2"/>
  <c r="BI85" i="2"/>
  <c r="BH85" i="2"/>
  <c r="BG85" i="2"/>
  <c r="BF85" i="2"/>
  <c r="BE85" i="2"/>
  <c r="BD85" i="2"/>
  <c r="BC85" i="2"/>
  <c r="BB85" i="2"/>
  <c r="BA85" i="2"/>
  <c r="AM85" i="2"/>
  <c r="AL85" i="2"/>
  <c r="AH85" i="2"/>
  <c r="AF85" i="2"/>
  <c r="AE85" i="2"/>
  <c r="AD85" i="2"/>
  <c r="Y85" i="2"/>
  <c r="BK82" i="2"/>
  <c r="BJ82" i="2"/>
  <c r="BI82" i="2"/>
  <c r="BH82" i="2"/>
  <c r="BG82" i="2"/>
  <c r="BF82" i="2"/>
  <c r="BE82" i="2"/>
  <c r="BD82" i="2"/>
  <c r="BC82" i="2"/>
  <c r="BB82" i="2"/>
  <c r="BA82" i="2"/>
  <c r="AM82" i="2"/>
  <c r="AL82" i="2"/>
  <c r="AH82" i="2"/>
  <c r="AF82" i="2"/>
  <c r="AE82" i="2"/>
  <c r="AD82" i="2"/>
  <c r="Y82" i="2"/>
  <c r="BK81" i="2"/>
  <c r="BJ81" i="2"/>
  <c r="BI81" i="2"/>
  <c r="BH81" i="2"/>
  <c r="BG81" i="2"/>
  <c r="BF81" i="2"/>
  <c r="BE81" i="2"/>
  <c r="BD81" i="2"/>
  <c r="BC81" i="2"/>
  <c r="BB81" i="2"/>
  <c r="BA81" i="2"/>
  <c r="AM81" i="2"/>
  <c r="AL81" i="2"/>
  <c r="AH81" i="2"/>
  <c r="AF81" i="2"/>
  <c r="AE81" i="2"/>
  <c r="AD81" i="2"/>
  <c r="Y81" i="2"/>
  <c r="BK80" i="2"/>
  <c r="BJ80" i="2"/>
  <c r="BI80" i="2"/>
  <c r="BH80" i="2"/>
  <c r="BG80" i="2"/>
  <c r="BF80" i="2"/>
  <c r="BE80" i="2"/>
  <c r="BD80" i="2"/>
  <c r="BC80" i="2"/>
  <c r="BB80" i="2"/>
  <c r="BA80" i="2"/>
  <c r="AU80" i="2"/>
  <c r="AM80" i="2"/>
  <c r="AL80" i="2"/>
  <c r="AH80" i="2"/>
  <c r="AF80" i="2"/>
  <c r="AE80" i="2"/>
  <c r="AD80" i="2"/>
  <c r="Y80" i="2"/>
  <c r="BK79" i="2"/>
  <c r="BJ79" i="2"/>
  <c r="BI79" i="2"/>
  <c r="BH79" i="2"/>
  <c r="BG79" i="2"/>
  <c r="BF79" i="2"/>
  <c r="BE79" i="2"/>
  <c r="BD79" i="2"/>
  <c r="BC79" i="2"/>
  <c r="BB79" i="2"/>
  <c r="BA79" i="2"/>
  <c r="AM79" i="2"/>
  <c r="AL79" i="2"/>
  <c r="AH79" i="2"/>
  <c r="AF79" i="2"/>
  <c r="AE79" i="2"/>
  <c r="AD79" i="2"/>
  <c r="Y79" i="2"/>
  <c r="BK78" i="2"/>
  <c r="BJ78" i="2"/>
  <c r="BI78" i="2"/>
  <c r="BH78" i="2"/>
  <c r="BG78" i="2"/>
  <c r="BF78" i="2"/>
  <c r="BE78" i="2"/>
  <c r="BD78" i="2"/>
  <c r="BC78" i="2"/>
  <c r="BB78" i="2"/>
  <c r="BA78" i="2"/>
  <c r="AT78" i="2"/>
  <c r="AM78" i="2"/>
  <c r="AL78" i="2"/>
  <c r="AH78" i="2"/>
  <c r="AF78" i="2"/>
  <c r="AE78" i="2"/>
  <c r="AD78" i="2"/>
  <c r="Y78" i="2"/>
  <c r="BK77" i="2"/>
  <c r="BJ77" i="2"/>
  <c r="BI77" i="2"/>
  <c r="BH77" i="2"/>
  <c r="BG77" i="2"/>
  <c r="BF77" i="2"/>
  <c r="BE77" i="2"/>
  <c r="BD77" i="2"/>
  <c r="BC77" i="2"/>
  <c r="BB77" i="2"/>
  <c r="BA77" i="2"/>
  <c r="AM77" i="2"/>
  <c r="AL77" i="2"/>
  <c r="AH77" i="2"/>
  <c r="AF77" i="2"/>
  <c r="AE77" i="2"/>
  <c r="AD77" i="2"/>
  <c r="Y77" i="2"/>
  <c r="BK76" i="2"/>
  <c r="BJ76" i="2"/>
  <c r="BI76" i="2"/>
  <c r="BH76" i="2"/>
  <c r="BG76" i="2"/>
  <c r="BF76" i="2"/>
  <c r="BE76" i="2"/>
  <c r="BD76" i="2"/>
  <c r="BC76" i="2"/>
  <c r="BB76" i="2"/>
  <c r="BA76" i="2"/>
  <c r="AM76" i="2"/>
  <c r="AL76" i="2"/>
  <c r="AH76" i="2"/>
  <c r="AF76" i="2"/>
  <c r="AE76" i="2"/>
  <c r="AD76" i="2"/>
  <c r="Y76" i="2"/>
  <c r="BK75" i="2"/>
  <c r="BJ75" i="2"/>
  <c r="BI75" i="2"/>
  <c r="BH75" i="2"/>
  <c r="BG75" i="2"/>
  <c r="BF75" i="2"/>
  <c r="BE75" i="2"/>
  <c r="BD75" i="2"/>
  <c r="BC75" i="2"/>
  <c r="BB75" i="2"/>
  <c r="BA75" i="2"/>
  <c r="AM75" i="2"/>
  <c r="AL75" i="2"/>
  <c r="AH75" i="2"/>
  <c r="AF75" i="2"/>
  <c r="AE75" i="2"/>
  <c r="AD75" i="2"/>
  <c r="Y75" i="2"/>
  <c r="BK74" i="2"/>
  <c r="BJ74" i="2"/>
  <c r="BI74" i="2"/>
  <c r="BH74" i="2"/>
  <c r="BG74" i="2"/>
  <c r="BF74" i="2"/>
  <c r="BE74" i="2"/>
  <c r="BD74" i="2"/>
  <c r="BC74" i="2"/>
  <c r="BB74" i="2"/>
  <c r="BA74" i="2"/>
  <c r="AM74" i="2"/>
  <c r="AL74" i="2"/>
  <c r="AH74" i="2"/>
  <c r="AF74" i="2"/>
  <c r="AE74" i="2"/>
  <c r="AD74" i="2"/>
  <c r="Y74" i="2"/>
  <c r="BK73" i="2"/>
  <c r="BJ73" i="2"/>
  <c r="BI73" i="2"/>
  <c r="BH73" i="2"/>
  <c r="BG73" i="2"/>
  <c r="BF73" i="2"/>
  <c r="BE73" i="2"/>
  <c r="BD73" i="2"/>
  <c r="BC73" i="2"/>
  <c r="BB73" i="2"/>
  <c r="BA73" i="2"/>
  <c r="AM73" i="2"/>
  <c r="AL73" i="2"/>
  <c r="AH73" i="2"/>
  <c r="AF73" i="2"/>
  <c r="AE73" i="2"/>
  <c r="AD73" i="2"/>
  <c r="Y73" i="2"/>
  <c r="BK72" i="2"/>
  <c r="BJ72" i="2"/>
  <c r="BI72" i="2"/>
  <c r="BH72" i="2"/>
  <c r="BG72" i="2"/>
  <c r="BF72" i="2"/>
  <c r="BE72" i="2"/>
  <c r="BD72" i="2"/>
  <c r="BC72" i="2"/>
  <c r="BB72" i="2"/>
  <c r="BA72" i="2"/>
  <c r="AM72" i="2"/>
  <c r="AL72" i="2"/>
  <c r="AH72" i="2"/>
  <c r="AF72" i="2"/>
  <c r="AE72" i="2"/>
  <c r="AD72" i="2"/>
  <c r="Y72" i="2"/>
  <c r="BK71" i="2"/>
  <c r="BJ71" i="2"/>
  <c r="BI71" i="2"/>
  <c r="BH71" i="2"/>
  <c r="BG71" i="2"/>
  <c r="BF71" i="2"/>
  <c r="BE71" i="2"/>
  <c r="BD71" i="2"/>
  <c r="BC71" i="2"/>
  <c r="BB71" i="2"/>
  <c r="BA71" i="2"/>
  <c r="AM71" i="2"/>
  <c r="AL71" i="2"/>
  <c r="AH71" i="2"/>
  <c r="AF71" i="2"/>
  <c r="AE71" i="2"/>
  <c r="AD71" i="2"/>
  <c r="Y71" i="2"/>
  <c r="BK70" i="2"/>
  <c r="BJ70" i="2"/>
  <c r="BI70" i="2"/>
  <c r="BH70" i="2"/>
  <c r="BG70" i="2"/>
  <c r="BF70" i="2"/>
  <c r="BE70" i="2"/>
  <c r="BD70" i="2"/>
  <c r="BC70" i="2"/>
  <c r="BB70" i="2"/>
  <c r="BA70" i="2"/>
  <c r="AM70" i="2"/>
  <c r="AL70" i="2"/>
  <c r="AH70" i="2"/>
  <c r="AF70" i="2"/>
  <c r="AD70" i="2"/>
  <c r="Y70" i="2"/>
  <c r="BK69" i="2"/>
  <c r="BJ69" i="2"/>
  <c r="BI69" i="2"/>
  <c r="BH69" i="2"/>
  <c r="BG69" i="2"/>
  <c r="BF69" i="2"/>
  <c r="BE69" i="2"/>
  <c r="BD69" i="2"/>
  <c r="BC69" i="2"/>
  <c r="BB69" i="2"/>
  <c r="BA69" i="2"/>
  <c r="AM69" i="2"/>
  <c r="AL69" i="2"/>
  <c r="AH69" i="2"/>
  <c r="AF69" i="2"/>
  <c r="AD69" i="2"/>
  <c r="Y69" i="2"/>
  <c r="BK68" i="2"/>
  <c r="BJ68" i="2"/>
  <c r="BI68" i="2"/>
  <c r="BH68" i="2"/>
  <c r="BG68" i="2"/>
  <c r="BF68" i="2"/>
  <c r="BE68" i="2"/>
  <c r="BD68" i="2"/>
  <c r="BC68" i="2"/>
  <c r="BB68" i="2"/>
  <c r="BA68" i="2"/>
  <c r="AM68" i="2"/>
  <c r="AL68" i="2"/>
  <c r="AH68" i="2"/>
  <c r="AF68" i="2"/>
  <c r="AE68" i="2"/>
  <c r="AD68" i="2"/>
  <c r="Y68" i="2"/>
  <c r="BK67" i="2"/>
  <c r="BJ67" i="2"/>
  <c r="BI67" i="2"/>
  <c r="BH67" i="2"/>
  <c r="BG67" i="2"/>
  <c r="BF67" i="2"/>
  <c r="BE67" i="2"/>
  <c r="BD67" i="2"/>
  <c r="BC67" i="2"/>
  <c r="BB67" i="2"/>
  <c r="BA67" i="2"/>
  <c r="AM67" i="2"/>
  <c r="AL67" i="2"/>
  <c r="AH67" i="2"/>
  <c r="AF67" i="2"/>
  <c r="AE67" i="2"/>
  <c r="AD67" i="2"/>
  <c r="Y67" i="2"/>
  <c r="BK66" i="2"/>
  <c r="BJ66" i="2"/>
  <c r="BI66" i="2"/>
  <c r="BH66" i="2"/>
  <c r="BG66" i="2"/>
  <c r="BF66" i="2"/>
  <c r="BE66" i="2"/>
  <c r="BD66" i="2"/>
  <c r="BC66" i="2"/>
  <c r="BB66" i="2"/>
  <c r="BA66" i="2"/>
  <c r="AM66" i="2"/>
  <c r="AL66" i="2"/>
  <c r="AH66" i="2"/>
  <c r="AF66" i="2"/>
  <c r="AE66" i="2"/>
  <c r="AD66" i="2"/>
  <c r="Y66" i="2"/>
  <c r="BK65" i="2"/>
  <c r="BJ65" i="2"/>
  <c r="BI65" i="2"/>
  <c r="BH65" i="2"/>
  <c r="BG65" i="2"/>
  <c r="BF65" i="2"/>
  <c r="BE65" i="2"/>
  <c r="BD65" i="2"/>
  <c r="BC65" i="2"/>
  <c r="BB65" i="2"/>
  <c r="BA65" i="2"/>
  <c r="AM65" i="2"/>
  <c r="AL65" i="2"/>
  <c r="AH65" i="2"/>
  <c r="AF65" i="2"/>
  <c r="AE65" i="2"/>
  <c r="AD65" i="2"/>
  <c r="Y65" i="2"/>
  <c r="BK64" i="2"/>
  <c r="BJ64" i="2"/>
  <c r="BI64" i="2"/>
  <c r="BH64" i="2"/>
  <c r="BG64" i="2"/>
  <c r="BF64" i="2"/>
  <c r="BE64" i="2"/>
  <c r="BD64" i="2"/>
  <c r="BC64" i="2"/>
  <c r="BB64" i="2"/>
  <c r="BA64" i="2"/>
  <c r="AM64" i="2"/>
  <c r="AL64" i="2"/>
  <c r="AH64" i="2"/>
  <c r="AF64" i="2"/>
  <c r="AE64" i="2"/>
  <c r="AD64" i="2"/>
  <c r="Y64" i="2"/>
  <c r="BK63" i="2"/>
  <c r="BJ63" i="2"/>
  <c r="BI63" i="2"/>
  <c r="BH63" i="2"/>
  <c r="BG63" i="2"/>
  <c r="BF63" i="2"/>
  <c r="BE63" i="2"/>
  <c r="BD63" i="2"/>
  <c r="BC63" i="2"/>
  <c r="BB63" i="2"/>
  <c r="BA63" i="2"/>
  <c r="AM63" i="2"/>
  <c r="AL63" i="2"/>
  <c r="AH63" i="2"/>
  <c r="AF63" i="2"/>
  <c r="AE63" i="2"/>
  <c r="AD63" i="2"/>
  <c r="Y63" i="2"/>
  <c r="BK62" i="2"/>
  <c r="BJ62" i="2"/>
  <c r="BI62" i="2"/>
  <c r="BH62" i="2"/>
  <c r="BG62" i="2"/>
  <c r="BF62" i="2"/>
  <c r="BE62" i="2"/>
  <c r="BD62" i="2"/>
  <c r="BC62" i="2"/>
  <c r="BB62" i="2"/>
  <c r="BA62" i="2"/>
  <c r="AM62" i="2"/>
  <c r="AL62" i="2"/>
  <c r="AH62" i="2"/>
  <c r="AF62" i="2"/>
  <c r="AE62" i="2"/>
  <c r="AD62" i="2"/>
  <c r="Y62" i="2"/>
  <c r="BK61" i="2"/>
  <c r="BJ61" i="2"/>
  <c r="BI61" i="2"/>
  <c r="BH61" i="2"/>
  <c r="BF61" i="2"/>
  <c r="BE61" i="2"/>
  <c r="BD61" i="2"/>
  <c r="BC61" i="2"/>
  <c r="BB61" i="2"/>
  <c r="BA61" i="2"/>
  <c r="AM61" i="2"/>
  <c r="AL61" i="2"/>
  <c r="AH61" i="2"/>
  <c r="AF61" i="2"/>
  <c r="AE61" i="2"/>
  <c r="AD61" i="2"/>
  <c r="Y61" i="2"/>
  <c r="BK60" i="2"/>
  <c r="BJ60" i="2"/>
  <c r="BI60" i="2"/>
  <c r="BH60" i="2"/>
  <c r="BG60" i="2"/>
  <c r="BF60" i="2"/>
  <c r="BE60" i="2"/>
  <c r="BD60" i="2"/>
  <c r="BC60" i="2"/>
  <c r="BB60" i="2"/>
  <c r="BA60" i="2"/>
  <c r="AM60" i="2"/>
  <c r="AL60" i="2"/>
  <c r="AH60" i="2"/>
  <c r="AF60" i="2"/>
  <c r="AD60" i="2"/>
  <c r="Y60" i="2"/>
  <c r="BK59" i="2"/>
  <c r="BJ59" i="2"/>
  <c r="BI59" i="2"/>
  <c r="BH59" i="2"/>
  <c r="BG59" i="2"/>
  <c r="BF59" i="2"/>
  <c r="BE59" i="2"/>
  <c r="BD59" i="2"/>
  <c r="BC59" i="2"/>
  <c r="BB59" i="2"/>
  <c r="BA59" i="2"/>
  <c r="AM59" i="2"/>
  <c r="AL59" i="2"/>
  <c r="AH59" i="2"/>
  <c r="AF59" i="2"/>
  <c r="AE59" i="2"/>
  <c r="AD59" i="2"/>
  <c r="Y59" i="2"/>
  <c r="BK56" i="2"/>
  <c r="BJ56" i="2"/>
  <c r="BI56" i="2"/>
  <c r="BH56" i="2"/>
  <c r="BG56" i="2"/>
  <c r="BF56" i="2"/>
  <c r="BE56" i="2"/>
  <c r="BD56" i="2"/>
  <c r="BC56" i="2"/>
  <c r="BB56" i="2"/>
  <c r="BA56" i="2"/>
  <c r="AM56" i="2"/>
  <c r="AL56" i="2"/>
  <c r="AH56" i="2"/>
  <c r="AF56" i="2"/>
  <c r="AE56" i="2"/>
  <c r="AD56" i="2"/>
  <c r="Y56" i="2"/>
  <c r="BK55" i="2"/>
  <c r="BJ55" i="2"/>
  <c r="BI55" i="2"/>
  <c r="BH55" i="2"/>
  <c r="BG55" i="2"/>
  <c r="BF55" i="2"/>
  <c r="BE55" i="2"/>
  <c r="BD55" i="2"/>
  <c r="BC55" i="2"/>
  <c r="BB55" i="2"/>
  <c r="BA55" i="2"/>
  <c r="AM55" i="2"/>
  <c r="AL55" i="2"/>
  <c r="AH55" i="2"/>
  <c r="AF55" i="2"/>
  <c r="AE55" i="2"/>
  <c r="AD55" i="2"/>
  <c r="Y55" i="2"/>
  <c r="BK54" i="2"/>
  <c r="BJ54" i="2"/>
  <c r="BI54" i="2"/>
  <c r="BH54" i="2"/>
  <c r="BG54" i="2"/>
  <c r="BF54" i="2"/>
  <c r="BE54" i="2"/>
  <c r="BD54" i="2"/>
  <c r="BC54" i="2"/>
  <c r="BB54" i="2"/>
  <c r="BA54" i="2"/>
  <c r="AM54" i="2"/>
  <c r="AL54" i="2"/>
  <c r="AH54" i="2"/>
  <c r="AD54" i="2"/>
  <c r="Y54" i="2"/>
  <c r="BK53" i="2"/>
  <c r="BJ53" i="2"/>
  <c r="BI53" i="2"/>
  <c r="BH53" i="2"/>
  <c r="BG53" i="2"/>
  <c r="BF53" i="2"/>
  <c r="BE53" i="2"/>
  <c r="BD53" i="2"/>
  <c r="BC53" i="2"/>
  <c r="BB53" i="2"/>
  <c r="BA53" i="2"/>
  <c r="AM53" i="2"/>
  <c r="AL53" i="2"/>
  <c r="AH53" i="2"/>
  <c r="AF53" i="2"/>
  <c r="AE53" i="2"/>
  <c r="AD53" i="2"/>
  <c r="Y53" i="2"/>
  <c r="BK52" i="2"/>
  <c r="BJ52" i="2"/>
  <c r="BI52" i="2"/>
  <c r="BH52" i="2"/>
  <c r="BG52" i="2"/>
  <c r="BF52" i="2"/>
  <c r="BE52" i="2"/>
  <c r="BD52" i="2"/>
  <c r="BC52" i="2"/>
  <c r="BB52" i="2"/>
  <c r="BA52" i="2"/>
  <c r="AR52" i="2"/>
  <c r="AM52" i="2"/>
  <c r="AL52" i="2"/>
  <c r="AH52" i="2"/>
  <c r="AE52" i="2"/>
  <c r="AD52" i="2"/>
  <c r="Y52" i="2"/>
  <c r="BK51" i="2"/>
  <c r="BJ51" i="2"/>
  <c r="BI51" i="2"/>
  <c r="BH51" i="2"/>
  <c r="BG51" i="2"/>
  <c r="BF51" i="2"/>
  <c r="BE51" i="2"/>
  <c r="BD51" i="2"/>
  <c r="BC51" i="2"/>
  <c r="BB51" i="2"/>
  <c r="BA51" i="2"/>
  <c r="AR51" i="2"/>
  <c r="AM51" i="2"/>
  <c r="AL51" i="2"/>
  <c r="AH51" i="2"/>
  <c r="AE51" i="2"/>
  <c r="AD51" i="2"/>
  <c r="Y51" i="2"/>
  <c r="BK50" i="2"/>
  <c r="BJ50" i="2"/>
  <c r="BI50" i="2"/>
  <c r="BH50" i="2"/>
  <c r="BG50" i="2"/>
  <c r="BF50" i="2"/>
  <c r="BE50" i="2"/>
  <c r="BD50" i="2"/>
  <c r="BC50" i="2"/>
  <c r="BB50" i="2"/>
  <c r="BA50" i="2"/>
  <c r="AR50" i="2"/>
  <c r="AM50" i="2"/>
  <c r="AL50" i="2"/>
  <c r="AH50" i="2"/>
  <c r="AE50" i="2"/>
  <c r="AD50" i="2"/>
  <c r="Y50" i="2"/>
  <c r="BK49" i="2"/>
  <c r="BJ49" i="2"/>
  <c r="BI49" i="2"/>
  <c r="BH49" i="2"/>
  <c r="BG49" i="2"/>
  <c r="BF49" i="2"/>
  <c r="BE49" i="2"/>
  <c r="BD49" i="2"/>
  <c r="BC49" i="2"/>
  <c r="BB49" i="2"/>
  <c r="BA49" i="2"/>
  <c r="AM49" i="2"/>
  <c r="AL49" i="2"/>
  <c r="AH49" i="2"/>
  <c r="AF49" i="2"/>
  <c r="AE49" i="2"/>
  <c r="AD49" i="2"/>
  <c r="Y49" i="2"/>
  <c r="BK48" i="2"/>
  <c r="BJ48" i="2"/>
  <c r="BI48" i="2"/>
  <c r="BH48" i="2"/>
  <c r="BG48" i="2"/>
  <c r="BF48" i="2"/>
  <c r="BE48" i="2"/>
  <c r="BD48" i="2"/>
  <c r="BC48" i="2"/>
  <c r="BB48" i="2"/>
  <c r="BA48" i="2"/>
  <c r="AM48" i="2"/>
  <c r="AL48" i="2"/>
  <c r="AH48" i="2"/>
  <c r="AF48" i="2"/>
  <c r="AE48" i="2"/>
  <c r="AD48" i="2"/>
  <c r="Y48" i="2"/>
  <c r="BK47" i="2"/>
  <c r="BJ47" i="2"/>
  <c r="BI47" i="2"/>
  <c r="BH47" i="2"/>
  <c r="BG47" i="2"/>
  <c r="BF47" i="2"/>
  <c r="BE47" i="2"/>
  <c r="BD47" i="2"/>
  <c r="BC47" i="2"/>
  <c r="BB47" i="2"/>
  <c r="BA47" i="2"/>
  <c r="AM47" i="2"/>
  <c r="AL47" i="2"/>
  <c r="AH47" i="2"/>
  <c r="AF47" i="2"/>
  <c r="AE47" i="2"/>
  <c r="AD47" i="2"/>
  <c r="Y47" i="2"/>
  <c r="BK46" i="2"/>
  <c r="BJ46" i="2"/>
  <c r="BI46" i="2"/>
  <c r="BH46" i="2"/>
  <c r="BG46" i="2"/>
  <c r="BF46" i="2"/>
  <c r="BE46" i="2"/>
  <c r="BD46" i="2"/>
  <c r="BC46" i="2"/>
  <c r="BB46" i="2"/>
  <c r="BA46" i="2"/>
  <c r="AM46" i="2"/>
  <c r="AL46" i="2"/>
  <c r="AH46" i="2"/>
  <c r="AF46" i="2"/>
  <c r="AE46" i="2"/>
  <c r="AD46" i="2"/>
  <c r="Y46" i="2"/>
  <c r="BK45" i="2"/>
  <c r="BJ45" i="2"/>
  <c r="BI45" i="2"/>
  <c r="BH45" i="2"/>
  <c r="BG45" i="2"/>
  <c r="BF45" i="2"/>
  <c r="BE45" i="2"/>
  <c r="BD45" i="2"/>
  <c r="BC45" i="2"/>
  <c r="BB45" i="2"/>
  <c r="BA45" i="2"/>
  <c r="AL45" i="2"/>
  <c r="AI45" i="2"/>
  <c r="AH45" i="2"/>
  <c r="AF45" i="2"/>
  <c r="AE45" i="2"/>
  <c r="AD45" i="2"/>
  <c r="Y45" i="2"/>
  <c r="BK44" i="2"/>
  <c r="BJ44" i="2"/>
  <c r="BI44" i="2"/>
  <c r="BH44" i="2"/>
  <c r="BG44" i="2"/>
  <c r="BF44" i="2"/>
  <c r="BE44" i="2"/>
  <c r="BD44" i="2"/>
  <c r="BC44" i="2"/>
  <c r="BB44" i="2"/>
  <c r="BA44" i="2"/>
  <c r="AL44" i="2"/>
  <c r="AI44" i="2"/>
  <c r="AH44" i="2"/>
  <c r="AF44" i="2"/>
  <c r="AE44" i="2"/>
  <c r="AD44" i="2"/>
  <c r="Y44" i="2"/>
  <c r="BK43" i="2"/>
  <c r="BJ43" i="2"/>
  <c r="BI43" i="2"/>
  <c r="BH43" i="2"/>
  <c r="BG43" i="2"/>
  <c r="BF43" i="2"/>
  <c r="BE43" i="2"/>
  <c r="BD43" i="2"/>
  <c r="BC43" i="2"/>
  <c r="BB43" i="2"/>
  <c r="BA43" i="2"/>
  <c r="AN43" i="2"/>
  <c r="AL43" i="2"/>
  <c r="AH43" i="2"/>
  <c r="AF43" i="2"/>
  <c r="AE43" i="2"/>
  <c r="AD43" i="2"/>
  <c r="Y43" i="2"/>
  <c r="BK42" i="2"/>
  <c r="BJ42" i="2"/>
  <c r="BI42" i="2"/>
  <c r="BH42" i="2"/>
  <c r="BG42" i="2"/>
  <c r="BF42" i="2"/>
  <c r="BE42" i="2"/>
  <c r="BD42" i="2"/>
  <c r="BC42" i="2"/>
  <c r="BB42" i="2"/>
  <c r="BA42" i="2"/>
  <c r="AN42" i="2"/>
  <c r="AL42" i="2"/>
  <c r="AI42" i="2"/>
  <c r="AH42" i="2"/>
  <c r="AF42" i="2"/>
  <c r="AE42" i="2"/>
  <c r="AD42" i="2"/>
  <c r="Y42" i="2"/>
  <c r="BK41" i="2"/>
  <c r="BJ41" i="2"/>
  <c r="BI41" i="2"/>
  <c r="BH41" i="2"/>
  <c r="BG41" i="2"/>
  <c r="BF41" i="2"/>
  <c r="BE41" i="2"/>
  <c r="BD41" i="2"/>
  <c r="BC41" i="2"/>
  <c r="BB41" i="2"/>
  <c r="BA41" i="2"/>
  <c r="AL41" i="2"/>
  <c r="AH41" i="2"/>
  <c r="AF41" i="2"/>
  <c r="AE41" i="2"/>
  <c r="AD41" i="2"/>
  <c r="Y41" i="2"/>
  <c r="BK40" i="2"/>
  <c r="BJ40" i="2"/>
  <c r="BI40" i="2"/>
  <c r="BH40" i="2"/>
  <c r="BG40" i="2"/>
  <c r="BF40" i="2"/>
  <c r="BE40" i="2"/>
  <c r="BD40" i="2"/>
  <c r="BC40" i="2"/>
  <c r="BB40" i="2"/>
  <c r="BA40" i="2"/>
  <c r="AL40" i="2"/>
  <c r="AH40" i="2"/>
  <c r="AF40" i="2"/>
  <c r="AE40" i="2"/>
  <c r="AD40" i="2"/>
  <c r="Y40" i="2"/>
  <c r="BK39" i="2"/>
  <c r="BJ39" i="2"/>
  <c r="BI39" i="2"/>
  <c r="BH39" i="2"/>
  <c r="BG39" i="2"/>
  <c r="BF39" i="2"/>
  <c r="BE39" i="2"/>
  <c r="BD39" i="2"/>
  <c r="BC39" i="2"/>
  <c r="BB39" i="2"/>
  <c r="BA39" i="2"/>
  <c r="AL39" i="2"/>
  <c r="AH39" i="2"/>
  <c r="AF39" i="2"/>
  <c r="AE39" i="2"/>
  <c r="AD39" i="2"/>
  <c r="Y39" i="2"/>
  <c r="BK38" i="2"/>
  <c r="BJ38" i="2"/>
  <c r="BI38" i="2"/>
  <c r="BH38" i="2"/>
  <c r="BG38" i="2"/>
  <c r="BF38" i="2"/>
  <c r="BE38" i="2"/>
  <c r="BD38" i="2"/>
  <c r="BC38" i="2"/>
  <c r="BB38" i="2"/>
  <c r="BA38" i="2"/>
  <c r="AL38" i="2"/>
  <c r="AH38" i="2"/>
  <c r="AF38" i="2"/>
  <c r="AE38" i="2"/>
  <c r="AD38" i="2"/>
  <c r="Y38" i="2"/>
  <c r="BK37" i="2"/>
  <c r="BJ37" i="2"/>
  <c r="BI37" i="2"/>
  <c r="BH37" i="2"/>
  <c r="BG37" i="2"/>
  <c r="BF37" i="2"/>
  <c r="BE37" i="2"/>
  <c r="BD37" i="2"/>
  <c r="BC37" i="2"/>
  <c r="BB37" i="2"/>
  <c r="BA37" i="2"/>
  <c r="AL37" i="2"/>
  <c r="AH37" i="2"/>
  <c r="AF37" i="2"/>
  <c r="AE37" i="2"/>
  <c r="AD37" i="2"/>
  <c r="Y37" i="2"/>
  <c r="BK36" i="2"/>
  <c r="BJ36" i="2"/>
  <c r="BI36" i="2"/>
  <c r="BH36" i="2"/>
  <c r="BG36" i="2"/>
  <c r="BF36" i="2"/>
  <c r="BE36" i="2"/>
  <c r="BD36" i="2"/>
  <c r="BC36" i="2"/>
  <c r="BB36" i="2"/>
  <c r="BA36" i="2"/>
  <c r="AL36" i="2"/>
  <c r="AH36" i="2"/>
  <c r="AF36" i="2"/>
  <c r="AE36" i="2"/>
  <c r="AD36" i="2"/>
  <c r="Y36" i="2"/>
  <c r="BK35" i="2"/>
  <c r="BJ35" i="2"/>
  <c r="BI35" i="2"/>
  <c r="BH35" i="2"/>
  <c r="BG35" i="2"/>
  <c r="BF35" i="2"/>
  <c r="BE35" i="2"/>
  <c r="BD35" i="2"/>
  <c r="BC35" i="2"/>
  <c r="BB35" i="2"/>
  <c r="BA35" i="2"/>
  <c r="AL35" i="2"/>
  <c r="AH35" i="2"/>
  <c r="AF35" i="2"/>
  <c r="AE35" i="2"/>
  <c r="AD35" i="2"/>
  <c r="Y35" i="2"/>
  <c r="BK34" i="2"/>
  <c r="BJ34" i="2"/>
  <c r="BI34" i="2"/>
  <c r="BH34" i="2"/>
  <c r="BG34" i="2"/>
  <c r="BF34" i="2"/>
  <c r="BE34" i="2"/>
  <c r="BD34" i="2"/>
  <c r="BC34" i="2"/>
  <c r="BB34" i="2"/>
  <c r="BA34" i="2"/>
  <c r="AL34" i="2"/>
  <c r="AH34" i="2"/>
  <c r="AF34" i="2"/>
  <c r="AE34" i="2"/>
  <c r="AD34" i="2"/>
  <c r="Y34" i="2"/>
  <c r="BK33" i="2"/>
  <c r="BJ33" i="2"/>
  <c r="BI33" i="2"/>
  <c r="BH33" i="2"/>
  <c r="BG33" i="2"/>
  <c r="BF33" i="2"/>
  <c r="BE33" i="2"/>
  <c r="BD33" i="2"/>
  <c r="BC33" i="2"/>
  <c r="BB33" i="2"/>
  <c r="BA33" i="2"/>
  <c r="AL33" i="2"/>
  <c r="AH33" i="2"/>
  <c r="AF33" i="2"/>
  <c r="AE33" i="2"/>
  <c r="AD33" i="2"/>
  <c r="Y33" i="2"/>
  <c r="BK32" i="2"/>
  <c r="BJ32" i="2"/>
  <c r="BI32" i="2"/>
  <c r="BH32" i="2"/>
  <c r="BG32" i="2"/>
  <c r="BF32" i="2"/>
  <c r="BE32" i="2"/>
  <c r="BD32" i="2"/>
  <c r="BC32" i="2"/>
  <c r="BB32" i="2"/>
  <c r="BA32" i="2"/>
  <c r="AL32" i="2"/>
  <c r="AH32" i="2"/>
  <c r="AF32" i="2"/>
  <c r="AE32" i="2"/>
  <c r="AD32" i="2"/>
  <c r="Y32" i="2"/>
  <c r="BK31" i="2"/>
  <c r="BJ31" i="2"/>
  <c r="BI31" i="2"/>
  <c r="BH31" i="2"/>
  <c r="BG31" i="2"/>
  <c r="BF31" i="2"/>
  <c r="BE31" i="2"/>
  <c r="BD31" i="2"/>
  <c r="BC31" i="2"/>
  <c r="BB31" i="2"/>
  <c r="BA31" i="2"/>
  <c r="AL31" i="2"/>
  <c r="AH31" i="2"/>
  <c r="AF31" i="2"/>
  <c r="AE31" i="2"/>
  <c r="AD31" i="2"/>
  <c r="Y31" i="2"/>
  <c r="BK30" i="2"/>
  <c r="BJ30" i="2"/>
  <c r="BI30" i="2"/>
  <c r="BH30" i="2"/>
  <c r="BG30" i="2"/>
  <c r="BF30" i="2"/>
  <c r="BE30" i="2"/>
  <c r="BD30" i="2"/>
  <c r="BC30" i="2"/>
  <c r="BB30" i="2"/>
  <c r="BA30" i="2"/>
  <c r="AL30" i="2"/>
  <c r="AH30" i="2"/>
  <c r="AF30" i="2"/>
  <c r="AE30" i="2"/>
  <c r="AD30" i="2"/>
  <c r="Y30" i="2"/>
  <c r="BK29" i="2"/>
  <c r="BJ29" i="2"/>
  <c r="BI29" i="2"/>
  <c r="BH29" i="2"/>
  <c r="BG29" i="2"/>
  <c r="BF29" i="2"/>
  <c r="BE29" i="2"/>
  <c r="BD29" i="2"/>
  <c r="BC29" i="2"/>
  <c r="BB29" i="2"/>
  <c r="BA29" i="2"/>
  <c r="AL29" i="2"/>
  <c r="AH29" i="2"/>
  <c r="AF29" i="2"/>
  <c r="AE29" i="2"/>
  <c r="AD29" i="2"/>
  <c r="Y29" i="2"/>
  <c r="BK28" i="2"/>
  <c r="BJ28" i="2"/>
  <c r="BI28" i="2"/>
  <c r="BH28" i="2"/>
  <c r="BG28" i="2"/>
  <c r="BF28" i="2"/>
  <c r="BE28" i="2"/>
  <c r="BD28" i="2"/>
  <c r="BC28" i="2"/>
  <c r="BB28" i="2"/>
  <c r="BA28" i="2"/>
  <c r="AL28" i="2"/>
  <c r="AH28" i="2"/>
  <c r="AF28" i="2"/>
  <c r="AE28" i="2"/>
  <c r="AD28" i="2"/>
  <c r="Y28" i="2"/>
  <c r="BK27" i="2"/>
  <c r="BJ27" i="2"/>
  <c r="BI27" i="2"/>
  <c r="BH27" i="2"/>
  <c r="BG27" i="2"/>
  <c r="BF27" i="2"/>
  <c r="BE27" i="2"/>
  <c r="BD27" i="2"/>
  <c r="BC27" i="2"/>
  <c r="BB27" i="2"/>
  <c r="BA27" i="2"/>
  <c r="AL27" i="2"/>
  <c r="AH27" i="2"/>
  <c r="AF27" i="2"/>
  <c r="AE27" i="2"/>
  <c r="AD27" i="2"/>
  <c r="Y27" i="2"/>
  <c r="BK26" i="2"/>
  <c r="BJ26" i="2"/>
  <c r="BI26" i="2"/>
  <c r="BH26" i="2"/>
  <c r="BG26" i="2"/>
  <c r="BF26" i="2"/>
  <c r="BE26" i="2"/>
  <c r="BD26" i="2"/>
  <c r="BC26" i="2"/>
  <c r="BB26" i="2"/>
  <c r="BA26" i="2"/>
  <c r="AL26" i="2"/>
  <c r="AH26" i="2"/>
  <c r="AF26" i="2"/>
  <c r="AE26" i="2"/>
  <c r="AD26" i="2"/>
  <c r="AA26" i="2"/>
  <c r="Y26" i="2"/>
  <c r="BK25" i="2"/>
  <c r="BJ25" i="2"/>
  <c r="BI25" i="2"/>
  <c r="BH25" i="2"/>
  <c r="BG25" i="2"/>
  <c r="BF25" i="2"/>
  <c r="BE25" i="2"/>
  <c r="BD25" i="2"/>
  <c r="BC25" i="2"/>
  <c r="BB25" i="2"/>
  <c r="BA25" i="2"/>
  <c r="AL25" i="2"/>
  <c r="AH25" i="2"/>
  <c r="AF25" i="2"/>
  <c r="AE25" i="2"/>
  <c r="AD25" i="2"/>
  <c r="Y25" i="2"/>
  <c r="BK24" i="2"/>
  <c r="BJ24" i="2"/>
  <c r="BI24" i="2"/>
  <c r="BH24" i="2"/>
  <c r="BG24" i="2"/>
  <c r="BF24" i="2"/>
  <c r="BE24" i="2"/>
  <c r="BD24" i="2"/>
  <c r="BC24" i="2"/>
  <c r="BB24" i="2"/>
  <c r="BA24" i="2"/>
  <c r="AL24" i="2"/>
  <c r="AH24" i="2"/>
  <c r="AF24" i="2"/>
  <c r="AE24" i="2"/>
  <c r="AD24" i="2"/>
  <c r="Y24" i="2"/>
  <c r="BK23" i="2"/>
  <c r="BJ23" i="2"/>
  <c r="BI23" i="2"/>
  <c r="BH23" i="2"/>
  <c r="BG23" i="2"/>
  <c r="BF23" i="2"/>
  <c r="BE23" i="2"/>
  <c r="BD23" i="2"/>
  <c r="BC23" i="2"/>
  <c r="BB23" i="2"/>
  <c r="BA23" i="2"/>
  <c r="AL23" i="2"/>
  <c r="AH23" i="2"/>
  <c r="AF23" i="2"/>
  <c r="AE23" i="2"/>
  <c r="AD23" i="2"/>
  <c r="Y23" i="2"/>
  <c r="BK22" i="2"/>
  <c r="BJ22" i="2"/>
  <c r="BI22" i="2"/>
  <c r="BH22" i="2"/>
  <c r="BG22" i="2"/>
  <c r="BF22" i="2"/>
  <c r="BE22" i="2"/>
  <c r="BD22" i="2"/>
  <c r="BC22" i="2"/>
  <c r="BB22" i="2"/>
  <c r="BA22" i="2"/>
  <c r="AL22" i="2"/>
  <c r="AI22" i="2"/>
  <c r="AH22" i="2"/>
  <c r="AF22" i="2"/>
  <c r="AE22" i="2"/>
  <c r="AD22" i="2"/>
  <c r="Y22" i="2"/>
  <c r="BK21" i="2"/>
  <c r="BJ21" i="2"/>
  <c r="BI21" i="2"/>
  <c r="BH21" i="2"/>
  <c r="BG21" i="2"/>
  <c r="BF21" i="2"/>
  <c r="BE21" i="2"/>
  <c r="BD21" i="2"/>
  <c r="BC21" i="2"/>
  <c r="BB21" i="2"/>
  <c r="BA21" i="2"/>
  <c r="AL21" i="2"/>
  <c r="AH21" i="2"/>
  <c r="AF21" i="2"/>
  <c r="AE21" i="2"/>
  <c r="AD21" i="2"/>
  <c r="Y21" i="2"/>
  <c r="BK20" i="2"/>
  <c r="BJ20" i="2"/>
  <c r="BI20" i="2"/>
  <c r="BH20" i="2"/>
  <c r="BG20" i="2"/>
  <c r="BF20" i="2"/>
  <c r="BE20" i="2"/>
  <c r="BD20" i="2"/>
  <c r="BC20" i="2"/>
  <c r="BB20" i="2"/>
  <c r="BA20" i="2"/>
  <c r="AL20" i="2"/>
  <c r="AH20" i="2"/>
  <c r="AF20" i="2"/>
  <c r="AE20" i="2"/>
  <c r="AD20" i="2"/>
  <c r="Y20" i="2"/>
  <c r="I20" i="2"/>
  <c r="BK19" i="2"/>
  <c r="BJ19" i="2"/>
  <c r="BI19" i="2"/>
  <c r="BH19" i="2"/>
  <c r="BG19" i="2"/>
  <c r="BF19" i="2"/>
  <c r="BE19" i="2"/>
  <c r="BD19" i="2"/>
  <c r="BC19" i="2"/>
  <c r="BB19" i="2"/>
  <c r="BA19" i="2"/>
  <c r="AO19" i="2"/>
  <c r="AN19" i="2"/>
  <c r="AL19" i="2"/>
  <c r="AJ19" i="2"/>
  <c r="AH19" i="2"/>
  <c r="AF19" i="2"/>
  <c r="AE19" i="2"/>
  <c r="AD19" i="2"/>
  <c r="Y19" i="2"/>
  <c r="BK18" i="2"/>
  <c r="BJ18" i="2"/>
  <c r="BI18" i="2"/>
  <c r="BH18" i="2"/>
  <c r="BG18" i="2"/>
  <c r="BF18" i="2"/>
  <c r="BE18" i="2"/>
  <c r="BD18" i="2"/>
  <c r="BC18" i="2"/>
  <c r="BB18" i="2"/>
  <c r="BA18" i="2"/>
  <c r="AL18" i="2"/>
  <c r="AH18" i="2"/>
  <c r="AF18" i="2"/>
  <c r="AE18" i="2"/>
  <c r="AD18" i="2"/>
  <c r="Y18" i="2"/>
  <c r="BK17" i="2"/>
  <c r="BJ17" i="2"/>
  <c r="BI17" i="2"/>
  <c r="BH17" i="2"/>
  <c r="BG17" i="2"/>
  <c r="BF17" i="2"/>
  <c r="BE17" i="2"/>
  <c r="BD17" i="2"/>
  <c r="BC17" i="2"/>
  <c r="BB17" i="2"/>
  <c r="BA17" i="2"/>
  <c r="AL17" i="2"/>
  <c r="AI17" i="2"/>
  <c r="AH17" i="2"/>
  <c r="AF17" i="2"/>
  <c r="AE17" i="2"/>
  <c r="AD17" i="2"/>
  <c r="Y17" i="2"/>
  <c r="BK16" i="2"/>
  <c r="BJ16" i="2"/>
  <c r="BI16" i="2"/>
  <c r="BH16" i="2"/>
  <c r="BG16" i="2"/>
  <c r="BF16" i="2"/>
  <c r="BE16" i="2"/>
  <c r="BD16" i="2"/>
  <c r="BC16" i="2"/>
  <c r="BB16" i="2"/>
  <c r="BA16" i="2"/>
  <c r="AL16" i="2"/>
  <c r="AH16" i="2"/>
  <c r="AF16" i="2"/>
  <c r="AE16" i="2"/>
  <c r="AD16" i="2"/>
  <c r="Y16" i="2"/>
  <c r="BK15" i="2"/>
  <c r="BJ15" i="2"/>
  <c r="BI15" i="2"/>
  <c r="BH15" i="2"/>
  <c r="BG15" i="2"/>
  <c r="BF15" i="2"/>
  <c r="BE15" i="2"/>
  <c r="BD15" i="2"/>
  <c r="BC15" i="2"/>
  <c r="BB15" i="2"/>
  <c r="BA15" i="2"/>
  <c r="AL15" i="2"/>
  <c r="AH15" i="2"/>
  <c r="AF15" i="2"/>
  <c r="AE15" i="2"/>
  <c r="AD15" i="2"/>
  <c r="Y15" i="2"/>
  <c r="BK14" i="2"/>
  <c r="BJ14" i="2"/>
  <c r="BI14" i="2"/>
  <c r="BH14" i="2"/>
  <c r="BG14" i="2"/>
  <c r="BF14" i="2"/>
  <c r="BE14" i="2"/>
  <c r="BD14" i="2"/>
  <c r="BC14" i="2"/>
  <c r="BB14" i="2"/>
  <c r="BA14" i="2"/>
  <c r="AS14" i="2"/>
  <c r="AL14" i="2"/>
  <c r="AH14" i="2"/>
  <c r="AF14" i="2"/>
  <c r="AE14" i="2"/>
  <c r="AD14" i="2"/>
  <c r="Y14" i="2"/>
  <c r="BK13" i="2"/>
  <c r="BJ13" i="2"/>
  <c r="BI13" i="2"/>
  <c r="BH13" i="2"/>
  <c r="BG13" i="2"/>
  <c r="BF13" i="2"/>
  <c r="BE13" i="2"/>
  <c r="BD13" i="2"/>
  <c r="BC13" i="2"/>
  <c r="BB13" i="2"/>
  <c r="BA13" i="2"/>
  <c r="AQ13" i="2"/>
  <c r="AL13" i="2"/>
  <c r="AH13" i="2"/>
  <c r="AF13" i="2"/>
  <c r="AE13" i="2"/>
  <c r="AD13" i="2"/>
  <c r="Y13" i="2"/>
  <c r="BK12" i="2"/>
  <c r="BJ12" i="2"/>
  <c r="BI12" i="2"/>
  <c r="BH12" i="2"/>
  <c r="BG12" i="2"/>
  <c r="BF12" i="2"/>
  <c r="BE12" i="2"/>
  <c r="BD12" i="2"/>
  <c r="BC12" i="2"/>
  <c r="BB12" i="2"/>
  <c r="BA12" i="2"/>
  <c r="AL12" i="2"/>
  <c r="AH12" i="2"/>
  <c r="AF12" i="2"/>
  <c r="AE12" i="2"/>
  <c r="AD12" i="2"/>
  <c r="Y12" i="2"/>
  <c r="BK11" i="2"/>
  <c r="BJ11" i="2"/>
  <c r="BI11" i="2"/>
  <c r="BH11" i="2"/>
  <c r="BG11" i="2"/>
  <c r="BF11" i="2"/>
  <c r="BE11" i="2"/>
  <c r="BD11" i="2"/>
  <c r="BC11" i="2"/>
  <c r="BB11" i="2"/>
  <c r="BA11" i="2"/>
  <c r="AL11" i="2"/>
  <c r="AH11" i="2"/>
  <c r="AF11" i="2"/>
  <c r="AE11" i="2"/>
  <c r="AD11" i="2"/>
  <c r="Y11" i="2"/>
  <c r="BK10" i="2"/>
  <c r="BJ10" i="2"/>
  <c r="BI10" i="2"/>
  <c r="BH10" i="2"/>
  <c r="BG10" i="2"/>
  <c r="BF10" i="2"/>
  <c r="BE10" i="2"/>
  <c r="BD10" i="2"/>
  <c r="BC10" i="2"/>
  <c r="BB10" i="2"/>
  <c r="BA10" i="2"/>
  <c r="AL10" i="2"/>
  <c r="AH10" i="2"/>
  <c r="AF10" i="2"/>
  <c r="AE10" i="2"/>
  <c r="AD10" i="2"/>
  <c r="Y10" i="2"/>
  <c r="BK9" i="2"/>
  <c r="BJ9" i="2"/>
  <c r="BI9" i="2"/>
  <c r="BH9" i="2"/>
  <c r="BG9" i="2"/>
  <c r="BF9" i="2"/>
  <c r="BE9" i="2"/>
  <c r="BD9" i="2"/>
  <c r="BC9" i="2"/>
  <c r="BB9" i="2"/>
  <c r="BA9" i="2"/>
  <c r="AU9" i="2"/>
  <c r="AL9" i="2"/>
  <c r="AH9" i="2"/>
  <c r="AF9" i="2"/>
  <c r="AE9" i="2"/>
  <c r="AD9" i="2"/>
  <c r="Y9" i="2"/>
  <c r="BK8" i="2"/>
  <c r="BJ8" i="2"/>
  <c r="BI8" i="2"/>
  <c r="BH8" i="2"/>
  <c r="BG8" i="2"/>
  <c r="BF8" i="2"/>
  <c r="BE8" i="2"/>
  <c r="BD8" i="2"/>
  <c r="BC8" i="2"/>
  <c r="BB8" i="2"/>
  <c r="BA8" i="2"/>
  <c r="AL8" i="2"/>
  <c r="AH8" i="2"/>
  <c r="AF8" i="2"/>
  <c r="AE8" i="2"/>
  <c r="AD8" i="2"/>
  <c r="Y8" i="2"/>
  <c r="BK7" i="2"/>
  <c r="BJ7" i="2"/>
  <c r="BI7" i="2"/>
  <c r="BH7" i="2"/>
  <c r="BG7" i="2"/>
  <c r="BF7" i="2"/>
  <c r="BE7" i="2"/>
  <c r="BD7" i="2"/>
  <c r="BC7" i="2"/>
  <c r="BB7" i="2"/>
  <c r="BA7" i="2"/>
  <c r="AL7" i="2"/>
  <c r="AH7" i="2"/>
  <c r="AF7" i="2"/>
  <c r="AE7" i="2"/>
  <c r="AD7" i="2"/>
  <c r="Y7" i="2"/>
  <c r="BK6" i="2"/>
  <c r="BJ6" i="2"/>
  <c r="BI6" i="2"/>
  <c r="BH6" i="2"/>
  <c r="BG6" i="2"/>
  <c r="BF6" i="2"/>
  <c r="BE6" i="2"/>
  <c r="BD6" i="2"/>
  <c r="BC6" i="2"/>
  <c r="BB6" i="2"/>
  <c r="BA6" i="2"/>
  <c r="AL6" i="2"/>
  <c r="AH6" i="2"/>
  <c r="AF6" i="2"/>
  <c r="AE6" i="2"/>
  <c r="AD6" i="2"/>
  <c r="Y6" i="2"/>
  <c r="BK5" i="2"/>
  <c r="BJ5" i="2"/>
  <c r="BI5" i="2"/>
  <c r="BH5" i="2"/>
  <c r="BG5" i="2"/>
  <c r="BF5" i="2"/>
  <c r="BE5" i="2"/>
  <c r="BD5" i="2"/>
  <c r="BC5" i="2"/>
  <c r="BB5" i="2"/>
  <c r="BA5" i="2"/>
  <c r="AL5" i="2"/>
  <c r="AH5" i="2"/>
  <c r="AE5" i="2"/>
  <c r="AD5" i="2"/>
  <c r="Y5" i="2"/>
  <c r="BK4" i="2"/>
  <c r="BJ4" i="2"/>
  <c r="BI4" i="2"/>
  <c r="BH4" i="2"/>
  <c r="BG4" i="2"/>
  <c r="BF4" i="2"/>
  <c r="BE4" i="2"/>
  <c r="BD4" i="2"/>
  <c r="BC4" i="2"/>
  <c r="BB4" i="2"/>
  <c r="BA4" i="2"/>
  <c r="AL4" i="2"/>
  <c r="AH4" i="2"/>
  <c r="AF4" i="2"/>
  <c r="AE4" i="2"/>
  <c r="AD4" i="2"/>
  <c r="Y4" i="2"/>
  <c r="BK3" i="2"/>
  <c r="BJ3" i="2"/>
  <c r="BI3" i="2"/>
  <c r="BH3" i="2"/>
  <c r="BG3" i="2"/>
  <c r="BF3" i="2"/>
  <c r="BE3" i="2"/>
  <c r="BD3" i="2"/>
  <c r="BC3" i="2"/>
  <c r="BB3" i="2"/>
  <c r="BA3" i="2"/>
  <c r="AL3" i="2"/>
  <c r="AD3" i="2"/>
  <c r="Y3" i="2"/>
  <c r="BK2" i="2"/>
  <c r="BJ2" i="2"/>
  <c r="BI2" i="2"/>
  <c r="BH2" i="2"/>
  <c r="BG2" i="2"/>
  <c r="BF2" i="2"/>
  <c r="BE2" i="2"/>
  <c r="BD2" i="2"/>
  <c r="BC2" i="2"/>
  <c r="BB2" i="2"/>
  <c r="F3" i="1"/>
  <c r="BA2" i="2"/>
  <c r="AL2" i="2"/>
  <c r="AH2" i="2"/>
  <c r="AF2" i="2"/>
  <c r="AE2" i="2"/>
  <c r="AD2" i="2"/>
  <c r="Y2" i="2"/>
  <c r="X29" i="1"/>
  <c r="U29" i="1"/>
  <c r="V29" i="1"/>
  <c r="S29" i="1"/>
  <c r="R29" i="1"/>
  <c r="O29" i="1"/>
  <c r="P29" i="1"/>
  <c r="L29" i="1"/>
  <c r="M29" i="1"/>
  <c r="G29" i="1"/>
  <c r="X28" i="1"/>
  <c r="U28" i="1"/>
  <c r="V28" i="1"/>
  <c r="S28" i="1"/>
  <c r="R28" i="1"/>
  <c r="O28" i="1"/>
  <c r="P28" i="1"/>
  <c r="L28" i="1"/>
  <c r="M28" i="1"/>
  <c r="G28" i="1"/>
  <c r="X27" i="1"/>
  <c r="U27" i="1"/>
  <c r="V27" i="1"/>
  <c r="S27" i="1"/>
  <c r="R27" i="1"/>
  <c r="O27" i="1"/>
  <c r="P27" i="1"/>
  <c r="L27" i="1"/>
  <c r="M27" i="1"/>
  <c r="G27" i="1"/>
  <c r="X26" i="1"/>
  <c r="U26" i="1"/>
  <c r="V26" i="1"/>
  <c r="S26" i="1"/>
  <c r="R26" i="1"/>
  <c r="O26" i="1"/>
  <c r="P26" i="1"/>
  <c r="L26" i="1"/>
  <c r="M26" i="1"/>
  <c r="G26" i="1"/>
  <c r="X25" i="1"/>
  <c r="U25" i="1"/>
  <c r="V25" i="1"/>
  <c r="S25" i="1"/>
  <c r="R25" i="1"/>
  <c r="O25" i="1"/>
  <c r="P25" i="1"/>
  <c r="L25" i="1"/>
  <c r="M25" i="1"/>
  <c r="G25" i="1"/>
  <c r="X24" i="1"/>
  <c r="U24" i="1"/>
  <c r="V24" i="1"/>
  <c r="S24" i="1"/>
  <c r="R24" i="1"/>
  <c r="O24" i="1"/>
  <c r="P24" i="1"/>
  <c r="L24" i="1"/>
  <c r="M24" i="1"/>
  <c r="G24" i="1"/>
  <c r="U23" i="1"/>
  <c r="V23" i="1"/>
  <c r="R23" i="1"/>
  <c r="S23" i="1"/>
  <c r="O23" i="1"/>
  <c r="P23" i="1"/>
  <c r="L23" i="1"/>
  <c r="M23" i="1"/>
  <c r="G23" i="1"/>
  <c r="X22" i="1"/>
  <c r="U22" i="1"/>
  <c r="V22" i="1"/>
  <c r="S22" i="1"/>
  <c r="R22" i="1"/>
  <c r="O22" i="1"/>
  <c r="P22" i="1"/>
  <c r="L22" i="1"/>
  <c r="M22" i="1"/>
  <c r="G22" i="1"/>
  <c r="U21" i="1"/>
  <c r="V21" i="1"/>
  <c r="R21" i="1"/>
  <c r="S21" i="1"/>
  <c r="O21" i="1"/>
  <c r="P21" i="1"/>
  <c r="L21" i="1"/>
  <c r="M21" i="1"/>
  <c r="G21" i="1"/>
  <c r="U20" i="1"/>
  <c r="V20" i="1"/>
  <c r="R20" i="1"/>
  <c r="O20" i="1"/>
  <c r="L20" i="1"/>
  <c r="G20" i="1"/>
  <c r="R17" i="1"/>
  <c r="O17" i="1"/>
  <c r="L17" i="1"/>
  <c r="AE11" i="1"/>
  <c r="F10" i="1"/>
  <c r="AH17" i="1"/>
  <c r="AH8" i="1"/>
  <c r="G6" i="1"/>
  <c r="G5" i="1"/>
  <c r="AH3" i="1"/>
  <c r="AT1" i="1"/>
  <c r="R45" i="1"/>
  <c r="Q32" i="1"/>
  <c r="Y31" i="1"/>
  <c r="A36" i="1"/>
  <c r="H36" i="1"/>
  <c r="AI41" i="1"/>
  <c r="R35" i="1"/>
  <c r="J41" i="1"/>
  <c r="Q40" i="1"/>
  <c r="AI42" i="1"/>
  <c r="J38" i="1"/>
  <c r="Q43" i="1"/>
  <c r="Y42" i="1"/>
  <c r="Y38" i="1"/>
  <c r="H42" i="1"/>
  <c r="J43" i="1"/>
  <c r="A34" i="1"/>
  <c r="R44" i="1"/>
  <c r="H35" i="1"/>
  <c r="J34" i="1"/>
  <c r="Q35" i="1"/>
  <c r="J35" i="1"/>
  <c r="R41" i="1"/>
  <c r="AI40" i="1"/>
  <c r="AI44" i="1"/>
  <c r="G40" i="1"/>
  <c r="J42" i="1"/>
  <c r="H41" i="1"/>
  <c r="AI36" i="1"/>
  <c r="H33" i="1"/>
  <c r="R46" i="1"/>
  <c r="Q42" i="1"/>
  <c r="A42" i="1"/>
  <c r="Y34" i="1"/>
  <c r="R39" i="1"/>
  <c r="Q41" i="1"/>
  <c r="Q31" i="1"/>
  <c r="A33" i="1"/>
  <c r="A46" i="1"/>
  <c r="AI45" i="1"/>
  <c r="Q45" i="1"/>
  <c r="P40" i="1"/>
  <c r="J40" i="1"/>
  <c r="R36" i="1"/>
  <c r="Q46" i="1"/>
  <c r="Q38" i="1"/>
  <c r="Y45" i="1"/>
  <c r="J36" i="1"/>
  <c r="J44" i="1"/>
  <c r="Y37" i="1"/>
  <c r="AI38" i="1"/>
  <c r="Y36" i="1"/>
  <c r="A35" i="1"/>
  <c r="R34" i="1"/>
  <c r="J45" i="1"/>
  <c r="A45" i="1"/>
  <c r="R38" i="1"/>
  <c r="Q34" i="1"/>
  <c r="R43" i="1"/>
  <c r="H32" i="1"/>
  <c r="R31" i="1"/>
  <c r="R42" i="1"/>
  <c r="AI46" i="1"/>
  <c r="H46" i="1"/>
  <c r="Y39" i="1"/>
  <c r="J39" i="1"/>
  <c r="J33" i="1"/>
  <c r="A40" i="1"/>
  <c r="AH44" i="1"/>
  <c r="Q33" i="1"/>
  <c r="Y43" i="1"/>
  <c r="AI39" i="1"/>
  <c r="Y32" i="1"/>
  <c r="A39" i="1"/>
  <c r="A43" i="1"/>
  <c r="Q36" i="1"/>
  <c r="H40" i="1"/>
  <c r="AI43" i="1"/>
  <c r="Y44" i="1"/>
  <c r="R33" i="1"/>
  <c r="H31" i="1"/>
  <c r="Q39" i="1"/>
  <c r="A44" i="1"/>
  <c r="Y33" i="1"/>
  <c r="H37" i="1"/>
  <c r="H34" i="1"/>
  <c r="J32" i="1"/>
  <c r="H43" i="1"/>
  <c r="A38" i="1"/>
  <c r="A32" i="1"/>
  <c r="J37" i="1"/>
  <c r="AA44" i="1"/>
  <c r="Q37" i="1"/>
  <c r="A37" i="1"/>
  <c r="A41" i="1"/>
  <c r="R37" i="1"/>
  <c r="Y35" i="1"/>
  <c r="J31" i="1"/>
  <c r="Y41" i="1"/>
  <c r="Y46" i="1"/>
  <c r="R40" i="1"/>
  <c r="A31" i="1"/>
  <c r="Y40" i="1"/>
  <c r="Q44" i="1"/>
  <c r="J46" i="1"/>
  <c r="R32" i="1"/>
  <c r="H39" i="1"/>
  <c r="H44" i="1"/>
  <c r="H45" i="1"/>
  <c r="H38" i="1"/>
  <c r="F4" i="1"/>
  <c r="AC15" i="1"/>
  <c r="G203" i="3"/>
  <c r="F8" i="1"/>
  <c r="F6" i="1"/>
  <c r="F7" i="1"/>
  <c r="AC14" i="1"/>
  <c r="F11" i="1"/>
  <c r="AC17" i="1"/>
  <c r="F5" i="1"/>
  <c r="F9" i="1"/>
  <c r="AM106" i="2"/>
  <c r="F12" i="1"/>
  <c r="A15" i="1"/>
  <c r="AH24" i="1"/>
  <c r="I42" i="2"/>
  <c r="AO43" i="2"/>
  <c r="G13" i="3"/>
  <c r="G119" i="3"/>
  <c r="G73" i="3"/>
  <c r="G142" i="3"/>
  <c r="G57" i="3"/>
  <c r="G17" i="3"/>
  <c r="G95" i="3"/>
  <c r="G192" i="3"/>
  <c r="G172" i="3"/>
  <c r="G156" i="3"/>
  <c r="G137" i="3"/>
  <c r="G118" i="3"/>
  <c r="G102" i="3"/>
  <c r="G83" i="3"/>
  <c r="G64" i="3"/>
  <c r="G48" i="3"/>
  <c r="G32" i="3"/>
  <c r="G12" i="3"/>
  <c r="G186" i="3"/>
  <c r="G167" i="3"/>
  <c r="G148" i="3"/>
  <c r="G132" i="3"/>
  <c r="G113" i="3"/>
  <c r="G97" i="3"/>
  <c r="G75" i="3"/>
  <c r="G59" i="3"/>
  <c r="G43" i="3"/>
  <c r="G27" i="3"/>
  <c r="G11" i="3"/>
  <c r="G193" i="3"/>
  <c r="G166" i="3"/>
  <c r="G147" i="3"/>
  <c r="G124" i="3"/>
  <c r="G108" i="3"/>
  <c r="G89" i="3"/>
  <c r="G66" i="3"/>
  <c r="G50" i="3"/>
  <c r="G46" i="3"/>
  <c r="G34" i="3"/>
  <c r="G30" i="3"/>
  <c r="G18" i="3"/>
  <c r="G14" i="3"/>
  <c r="G9" i="3"/>
  <c r="G21" i="3"/>
  <c r="G65" i="3"/>
  <c r="G77" i="3"/>
  <c r="G134" i="3"/>
  <c r="G146" i="3"/>
  <c r="AO108" i="2"/>
  <c r="AO42" i="2"/>
  <c r="G70" i="3"/>
  <c r="G151" i="3"/>
  <c r="G116" i="3"/>
  <c r="G135" i="3"/>
  <c r="G158" i="3"/>
  <c r="G174" i="3"/>
  <c r="G204" i="3"/>
  <c r="G19" i="3"/>
  <c r="G35" i="3"/>
  <c r="G51" i="3"/>
  <c r="G67" i="3"/>
  <c r="G86" i="3"/>
  <c r="G105" i="3"/>
  <c r="G121" i="3"/>
  <c r="G140" i="3"/>
  <c r="G159" i="3"/>
  <c r="G175" i="3"/>
  <c r="G201" i="3"/>
  <c r="G24" i="3"/>
  <c r="G40" i="3"/>
  <c r="G56" i="3"/>
  <c r="G72" i="3"/>
  <c r="G91" i="3"/>
  <c r="G110" i="3"/>
  <c r="G126" i="3"/>
  <c r="G145" i="3"/>
  <c r="G164" i="3"/>
  <c r="G202" i="3"/>
  <c r="G127" i="3"/>
  <c r="G49" i="3"/>
  <c r="G138" i="3"/>
  <c r="G173" i="3"/>
  <c r="G107" i="3"/>
  <c r="G29" i="3"/>
  <c r="G69" i="3"/>
  <c r="G96" i="3"/>
  <c r="G112" i="3"/>
  <c r="G128" i="3"/>
  <c r="G170" i="3"/>
  <c r="G197" i="3"/>
  <c r="G15" i="3"/>
  <c r="G31" i="3"/>
  <c r="G47" i="3"/>
  <c r="G63" i="3"/>
  <c r="G82" i="3"/>
  <c r="G101" i="3"/>
  <c r="G117" i="3"/>
  <c r="G136" i="3"/>
  <c r="G155" i="3"/>
  <c r="G171" i="3"/>
  <c r="G190" i="3"/>
  <c r="G20" i="3"/>
  <c r="G36" i="3"/>
  <c r="G52" i="3"/>
  <c r="G68" i="3"/>
  <c r="G87" i="3"/>
  <c r="G106" i="3"/>
  <c r="G122" i="3"/>
  <c r="G141" i="3"/>
  <c r="G160" i="3"/>
  <c r="G183" i="3"/>
  <c r="G161" i="3"/>
  <c r="G61" i="3"/>
  <c r="G169" i="3"/>
  <c r="G25" i="3"/>
  <c r="G123" i="3"/>
  <c r="G45" i="3"/>
  <c r="G103" i="3"/>
  <c r="G180" i="3"/>
  <c r="G115" i="3"/>
  <c r="G53" i="3"/>
  <c r="G6" i="3"/>
  <c r="G22" i="3"/>
  <c r="G38" i="3"/>
  <c r="G54" i="3"/>
  <c r="G78" i="3"/>
  <c r="G100" i="3"/>
  <c r="G165" i="3"/>
  <c r="G99" i="3"/>
  <c r="G37" i="3"/>
  <c r="G10" i="3"/>
  <c r="G26" i="3"/>
  <c r="G42" i="3"/>
  <c r="G62" i="3"/>
  <c r="G85" i="3"/>
  <c r="G104" i="3"/>
  <c r="G120" i="3"/>
  <c r="G139" i="3"/>
  <c r="G162" i="3"/>
  <c r="G185" i="3"/>
  <c r="G7" i="3"/>
  <c r="X20" i="1"/>
  <c r="G23" i="3"/>
  <c r="G39" i="3"/>
  <c r="G55" i="3"/>
  <c r="G71" i="3"/>
  <c r="G90" i="3"/>
  <c r="G109" i="3"/>
  <c r="G125" i="3"/>
  <c r="G144" i="3"/>
  <c r="G163" i="3"/>
  <c r="G182" i="3"/>
  <c r="G8" i="3"/>
  <c r="G28" i="3"/>
  <c r="G44" i="3"/>
  <c r="G60" i="3"/>
  <c r="G76" i="3"/>
  <c r="G98" i="3"/>
  <c r="G114" i="3"/>
  <c r="G133" i="3"/>
  <c r="G149" i="3"/>
  <c r="G168" i="3"/>
  <c r="G206" i="3"/>
  <c r="G111" i="3"/>
  <c r="G33" i="3"/>
  <c r="G84" i="3"/>
  <c r="G157" i="3"/>
  <c r="G88" i="3"/>
  <c r="G150" i="3"/>
  <c r="G41" i="3"/>
  <c r="AI34" i="1"/>
  <c r="AI33" i="1"/>
  <c r="AI25" i="1"/>
  <c r="AI28" i="1"/>
  <c r="AI26" i="1"/>
  <c r="AI31" i="1"/>
  <c r="AI29" i="1"/>
  <c r="AI27" i="1"/>
  <c r="O19" i="1"/>
  <c r="P20" i="1"/>
  <c r="AI30" i="1"/>
  <c r="AC50" i="2"/>
  <c r="AC51" i="2"/>
  <c r="AC52" i="2"/>
  <c r="U17" i="1"/>
  <c r="U19" i="1"/>
  <c r="AO73" i="2"/>
  <c r="AO104" i="2"/>
  <c r="AO57" i="2"/>
  <c r="AO53" i="2"/>
  <c r="AO78" i="2"/>
  <c r="AO29" i="2"/>
  <c r="AO88" i="2"/>
  <c r="AI32" i="1"/>
  <c r="R19" i="1"/>
  <c r="S20" i="1"/>
  <c r="AO55" i="2"/>
  <c r="AO92" i="2"/>
  <c r="AO77" i="2"/>
  <c r="AO59" i="2"/>
  <c r="AO86" i="2"/>
  <c r="AM45" i="2"/>
  <c r="AE13" i="1"/>
  <c r="AO72" i="2"/>
  <c r="AO107" i="2"/>
  <c r="AO89" i="2"/>
  <c r="AO68" i="2"/>
  <c r="AO98" i="2"/>
  <c r="AI22" i="1"/>
  <c r="AO47" i="2"/>
  <c r="AO76" i="2"/>
  <c r="AO56" i="2"/>
  <c r="AO93" i="2"/>
  <c r="AO69" i="2"/>
  <c r="AO101" i="2"/>
  <c r="AO46" i="2"/>
  <c r="AO50" i="2"/>
  <c r="AO40" i="2"/>
  <c r="L19" i="1"/>
  <c r="M20" i="1"/>
  <c r="AO95" i="2"/>
  <c r="AO14" i="2"/>
  <c r="AO62" i="2"/>
  <c r="AO79" i="2"/>
  <c r="AO96" i="2"/>
  <c r="AO63" i="2"/>
  <c r="AO80" i="2"/>
  <c r="AO97" i="2"/>
  <c r="AO60" i="2"/>
  <c r="AO70" i="2"/>
  <c r="AO90" i="2"/>
  <c r="AO105" i="2"/>
  <c r="AO81" i="2"/>
  <c r="AO39" i="2"/>
  <c r="AO87" i="2"/>
  <c r="AO49" i="2"/>
  <c r="AO37" i="2"/>
  <c r="AO103" i="2"/>
  <c r="AO83" i="2"/>
  <c r="AO84" i="2"/>
  <c r="AO61" i="2"/>
  <c r="AO4" i="2"/>
  <c r="AO51" i="2"/>
  <c r="AO66" i="2"/>
  <c r="AO82" i="2"/>
  <c r="AO99" i="2"/>
  <c r="AO67" i="2"/>
  <c r="AO85" i="2"/>
  <c r="AO100" i="2"/>
  <c r="AO64" i="2"/>
  <c r="AO74" i="2"/>
  <c r="AO94" i="2"/>
  <c r="AO65" i="2"/>
  <c r="AO38" i="2"/>
  <c r="AO71" i="2"/>
  <c r="AO45" i="2"/>
  <c r="AO75" i="2"/>
  <c r="AO20" i="2"/>
  <c r="AO54" i="2"/>
  <c r="AO91" i="2"/>
  <c r="AO22" i="2"/>
  <c r="AO52" i="2"/>
  <c r="AO48" i="2"/>
  <c r="AO109" i="2"/>
  <c r="X21" i="1"/>
  <c r="X23" i="1"/>
  <c r="AO58" i="2"/>
  <c r="AO102" i="2"/>
  <c r="BM108" i="2"/>
  <c r="BM109" i="2"/>
  <c r="BL109" i="2"/>
  <c r="BL108" i="2"/>
  <c r="BL64" i="2"/>
  <c r="BM102" i="2"/>
  <c r="BM106" i="2"/>
  <c r="BM9" i="2"/>
  <c r="BL102" i="2"/>
  <c r="BL29" i="2"/>
  <c r="BM78" i="2"/>
  <c r="BL98" i="2"/>
  <c r="BM80" i="2"/>
  <c r="BL24" i="2"/>
  <c r="BM60" i="2"/>
  <c r="BL21" i="2"/>
  <c r="BL75" i="2"/>
  <c r="G13" i="1"/>
  <c r="BM52" i="2"/>
  <c r="BM82" i="2"/>
  <c r="BM5" i="2"/>
  <c r="BM23" i="2"/>
  <c r="BM63" i="2"/>
  <c r="BM11" i="2"/>
  <c r="BL84" i="2"/>
  <c r="BM34" i="2"/>
  <c r="BM16" i="2"/>
  <c r="BL72" i="2"/>
  <c r="BM79" i="2"/>
  <c r="BM97" i="2"/>
  <c r="BM43" i="2"/>
  <c r="BM59" i="2"/>
  <c r="BM94" i="2"/>
  <c r="BL53" i="2"/>
  <c r="BL88" i="2"/>
  <c r="BM62" i="2"/>
  <c r="BL97" i="2"/>
  <c r="BM77" i="2"/>
  <c r="BM45" i="2"/>
  <c r="BL2" i="2"/>
  <c r="BM13" i="2"/>
  <c r="BM86" i="2"/>
  <c r="BM36" i="2"/>
  <c r="BL14" i="2"/>
  <c r="BM46" i="2"/>
  <c r="BL41" i="2"/>
  <c r="BL23" i="2"/>
  <c r="BL12" i="2"/>
  <c r="BM61" i="2"/>
  <c r="BM95" i="2"/>
  <c r="BL63" i="2"/>
  <c r="BM99" i="2"/>
  <c r="BL80" i="2"/>
  <c r="BL54" i="2"/>
  <c r="BM25" i="2"/>
  <c r="BM28" i="2"/>
  <c r="BM4" i="2"/>
  <c r="BL71" i="2"/>
  <c r="BL31" i="2"/>
  <c r="BM3" i="2"/>
  <c r="BL57" i="2"/>
  <c r="BL22" i="2"/>
  <c r="BL27" i="2"/>
  <c r="BM20" i="2"/>
  <c r="BL40" i="2"/>
  <c r="BL44" i="2"/>
  <c r="BL15" i="2"/>
  <c r="BL4" i="2"/>
  <c r="BL62" i="2"/>
  <c r="BL79" i="2"/>
  <c r="BL96" i="2"/>
  <c r="BL51" i="2"/>
  <c r="BM72" i="2"/>
  <c r="BL89" i="2"/>
  <c r="BM107" i="2"/>
  <c r="BL69" i="2"/>
  <c r="BM89" i="2"/>
  <c r="BM104" i="2"/>
  <c r="BL103" i="2"/>
  <c r="BM51" i="2"/>
  <c r="BL34" i="2"/>
  <c r="BL16" i="2"/>
  <c r="BL38" i="2"/>
  <c r="BM40" i="2"/>
  <c r="BM27" i="2"/>
  <c r="BL10" i="2"/>
  <c r="BM105" i="2"/>
  <c r="BM83" i="2"/>
  <c r="BM71" i="2"/>
  <c r="BM87" i="2"/>
  <c r="BM53" i="2"/>
  <c r="BL73" i="2"/>
  <c r="BM92" i="2"/>
  <c r="BM56" i="2"/>
  <c r="BL70" i="2"/>
  <c r="BL90" i="2"/>
  <c r="BL105" i="2"/>
  <c r="BM101" i="2"/>
  <c r="BM64" i="2"/>
  <c r="BL50" i="2"/>
  <c r="BM31" i="2"/>
  <c r="BM10" i="2"/>
  <c r="BM44" i="2"/>
  <c r="BM15" i="2"/>
  <c r="BM68" i="2"/>
  <c r="BL49" i="2"/>
  <c r="BM37" i="2"/>
  <c r="BM22" i="2"/>
  <c r="BL91" i="2"/>
  <c r="BM47" i="2"/>
  <c r="BL36" i="2"/>
  <c r="BM19" i="2"/>
  <c r="BM58" i="2"/>
  <c r="BM84" i="2"/>
  <c r="BM57" i="2"/>
  <c r="BL106" i="2"/>
  <c r="BM54" i="2"/>
  <c r="BM65" i="2"/>
  <c r="BM75" i="2"/>
  <c r="BM81" i="2"/>
  <c r="BM91" i="2"/>
  <c r="BL99" i="2"/>
  <c r="BL107" i="2"/>
  <c r="BM55" i="2"/>
  <c r="BM66" i="2"/>
  <c r="BM76" i="2"/>
  <c r="BL85" i="2"/>
  <c r="BL93" i="2"/>
  <c r="BL100" i="2"/>
  <c r="BL59" i="2"/>
  <c r="BM67" i="2"/>
  <c r="BM73" i="2"/>
  <c r="BM85" i="2"/>
  <c r="BM93" i="2"/>
  <c r="BM100" i="2"/>
  <c r="BM98" i="2"/>
  <c r="BL65" i="2"/>
  <c r="BM49" i="2"/>
  <c r="BL42" i="2"/>
  <c r="BL30" i="2"/>
  <c r="BM18" i="2"/>
  <c r="BL9" i="2"/>
  <c r="BL48" i="2"/>
  <c r="BM41" i="2"/>
  <c r="BL11" i="2"/>
  <c r="BL87" i="2"/>
  <c r="BM48" i="2"/>
  <c r="BM39" i="2"/>
  <c r="BL35" i="2"/>
  <c r="BL26" i="2"/>
  <c r="BL18" i="2"/>
  <c r="BM6" i="2"/>
  <c r="BM90" i="2"/>
  <c r="BM74" i="2"/>
  <c r="BM33" i="2"/>
  <c r="BM21" i="2"/>
  <c r="BM12" i="2"/>
  <c r="BM69" i="2"/>
  <c r="BL47" i="2"/>
  <c r="BL43" i="2"/>
  <c r="BL33" i="2"/>
  <c r="BL28" i="2"/>
  <c r="BL19" i="2"/>
  <c r="BM8" i="2"/>
  <c r="BL3" i="2"/>
  <c r="BL95" i="2"/>
  <c r="BL61" i="2"/>
  <c r="BM42" i="2"/>
  <c r="BM30" i="2"/>
  <c r="BM24" i="2"/>
  <c r="BM17" i="2"/>
  <c r="BL13" i="2"/>
  <c r="BL7" i="2"/>
  <c r="BM2" i="2"/>
  <c r="BM50" i="2"/>
  <c r="BL55" i="2"/>
  <c r="BL66" i="2"/>
  <c r="BL76" i="2"/>
  <c r="BL82" i="2"/>
  <c r="BL92" i="2"/>
  <c r="BM103" i="2"/>
  <c r="BL56" i="2"/>
  <c r="BL67" i="2"/>
  <c r="BL77" i="2"/>
  <c r="BM88" i="2"/>
  <c r="BM96" i="2"/>
  <c r="BL104" i="2"/>
  <c r="BL60" i="2"/>
  <c r="BL68" i="2"/>
  <c r="BL74" i="2"/>
  <c r="BL86" i="2"/>
  <c r="BL94" i="2"/>
  <c r="BL101" i="2"/>
  <c r="BL81" i="2"/>
  <c r="BL52" i="2"/>
  <c r="BL46" i="2"/>
  <c r="BM35" i="2"/>
  <c r="BM26" i="2"/>
  <c r="BL17" i="2"/>
  <c r="BL8" i="2"/>
  <c r="BL39" i="2"/>
  <c r="BL32" i="2"/>
  <c r="BL20" i="2"/>
  <c r="BM7" i="2"/>
  <c r="BM70" i="2"/>
  <c r="BL45" i="2"/>
  <c r="BM38" i="2"/>
  <c r="BM32" i="2"/>
  <c r="BL25" i="2"/>
  <c r="BM14" i="2"/>
  <c r="BL5" i="2"/>
  <c r="BL78" i="2"/>
  <c r="BL37" i="2"/>
  <c r="BM29" i="2"/>
  <c r="BL6" i="2"/>
  <c r="BL58" i="2"/>
  <c r="BL83" i="2"/>
  <c r="E16" i="1"/>
  <c r="AE12" i="1"/>
  <c r="AI18" i="1"/>
  <c r="AI21" i="1"/>
  <c r="AH4" i="1"/>
  <c r="AH10" i="1"/>
  <c r="AD18" i="1"/>
  <c r="AD21" i="1"/>
</calcChain>
</file>

<file path=xl/comments1.xml><?xml version="1.0" encoding="utf-8"?>
<comments xmlns="http://schemas.openxmlformats.org/spreadsheetml/2006/main">
  <authors>
    <author>Anyu</author>
    <author>simon.janos</author>
    <author>Simon János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A halvány zöld mezők kitöltésével készítheted el a karaktert.
A kaszt kiválasztásával a képességek értékei automatikusan kitöltésre lerülnek!
A faj kiválasztásával a faji módosítók hozáadódnak/levonódnak!
Ha plusz képességpontokat veszel, akkor csak írd át az adott képességnél a számot.
A mező háttere piros lesz, ha túllépted a faji maximumot vagy minimumot!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Válaszd ki a kasztodat. Ha váltott, vagy iker kasztot szeretnél, akkor az elsőt ide írd (harcérték számításnál számít melyik kaszt volt előbb).</t>
        </r>
      </text>
    </comment>
    <comment ref="Y3" authorId="0">
      <text>
        <r>
          <rPr>
            <b/>
            <sz val="9"/>
            <color indexed="81"/>
            <rFont val="Tahoma"/>
            <family val="2"/>
          </rPr>
          <t>Írd be a kaszt szintjét. Váltott kaszt esetén az aktuális, tehát a három szinttel csökkentett értéket írd ide.</t>
        </r>
      </text>
    </comment>
    <comment ref="BM3" authorId="1">
      <text>
        <r>
          <rPr>
            <b/>
            <sz val="9"/>
            <color indexed="81"/>
            <rFont val="Tahoma"/>
            <family val="2"/>
          </rPr>
          <t>A felszerelés ára ezüstben megadva.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Amennyiben váltott, vagy iker kasztot szeretnél, ide írd be a másodiknak felvett kasztodat.</t>
        </r>
      </text>
    </comment>
    <comment ref="Y4" authorId="0">
      <text>
        <r>
          <rPr>
            <b/>
            <sz val="9"/>
            <color indexed="81"/>
            <rFont val="Tahoma"/>
            <family val="2"/>
          </rPr>
          <t>Írd be a kaszt szintjét.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Válaszd ki a helyes értéket a listából.</t>
        </r>
      </text>
    </comment>
    <comment ref="X5" authorId="0">
      <text>
        <r>
          <rPr>
            <b/>
            <sz val="9"/>
            <color indexed="81"/>
            <rFont val="Tahoma"/>
            <family val="2"/>
          </rPr>
          <t>Válaszd ki a helyes választ a listából.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Írd be, hogy a karaktered hanyadik szintű volt, amikor felvette a második kasztját.</t>
        </r>
      </text>
    </comment>
    <comment ref="X6" authorId="0">
      <text>
        <r>
          <rPr>
            <b/>
            <sz val="9"/>
            <color indexed="81"/>
            <rFont val="Tahoma"/>
            <family val="2"/>
          </rPr>
          <t>Válaszd ki a helyes választ a listából.</t>
        </r>
      </text>
    </comment>
    <comment ref="AH6" authorId="2">
      <text>
        <r>
          <rPr>
            <b/>
            <sz val="9"/>
            <color indexed="81"/>
            <rFont val="Tahoma"/>
            <family val="2"/>
          </rPr>
          <t>Ide kell beírni azt a TP mennyiséget, amit pénzre költesz! 5 TP = 1 arany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Válaszd ki a karakter faját a listából.</t>
        </r>
      </text>
    </comment>
    <comment ref="AH9" authorId="0">
      <text>
        <r>
          <rPr>
            <b/>
            <sz val="9"/>
            <color indexed="81"/>
            <rFont val="Tahoma"/>
            <family val="2"/>
          </rPr>
          <t>Ide lehet beírni a bármilyen okból kapott bónusz Tp-t (mínusz előjellel), valamint ha valami másra is kellett külön Tp-t költeni, azt is itt kell feltüntetni.</t>
        </r>
      </text>
    </comment>
    <comment ref="AE11" authorId="0">
      <text>
        <r>
          <rPr>
            <b/>
            <sz val="9"/>
            <color indexed="81"/>
            <rFont val="Tahoma"/>
            <family val="2"/>
          </rPr>
          <t>Amennyiben Kp-ból vetted, vagy fejlesztetted a Pszit, írd be a helyes iskolát.</t>
        </r>
      </text>
    </comment>
    <comment ref="AE12" authorId="0">
      <text>
        <r>
          <rPr>
            <b/>
            <sz val="9"/>
            <color indexed="81"/>
            <rFont val="Tahoma"/>
            <family val="2"/>
          </rPr>
          <t>Ha Kp-ból vetted, vagy fejlesztetted a Pszit, akkor írd be a helyes pont mennyiséget.</t>
        </r>
      </text>
    </comment>
    <comment ref="S14" authorId="0">
      <text>
        <r>
          <rPr>
            <b/>
            <sz val="9"/>
            <color indexed="81"/>
            <rFont val="Tahoma"/>
            <family val="2"/>
          </rPr>
          <t>Válaszd ki, hogy van-e nehézvértviselet Mf-ed</t>
        </r>
      </text>
    </comment>
    <comment ref="O18" authorId="1">
      <text>
        <r>
          <rPr>
            <b/>
            <sz val="9"/>
            <color indexed="81"/>
            <rFont val="Tahoma"/>
            <family val="2"/>
          </rPr>
          <t>Legalább annyit írj be, mint a kötelező HM.</t>
        </r>
      </text>
    </comment>
    <comment ref="R18" authorId="1">
      <text>
        <r>
          <rPr>
            <b/>
            <sz val="9"/>
            <color indexed="81"/>
            <rFont val="Tahoma"/>
            <family val="2"/>
          </rPr>
          <t>Legalább annyit írj be, mint a kötelező HM.</t>
        </r>
      </text>
    </comment>
    <comment ref="A20" authorId="2">
      <text>
        <r>
          <rPr>
            <b/>
            <sz val="9"/>
            <color indexed="81"/>
            <rFont val="Tahoma"/>
            <family val="2"/>
          </rPr>
          <t>Válassz a listából!</t>
        </r>
      </text>
    </comment>
    <comment ref="A21" authorId="2">
      <text>
        <r>
          <rPr>
            <b/>
            <sz val="9"/>
            <color indexed="81"/>
            <rFont val="Tahoma"/>
            <family val="2"/>
          </rPr>
          <t>Válassz a listából!</t>
        </r>
      </text>
    </comment>
    <comment ref="A22" authorId="2">
      <text>
        <r>
          <rPr>
            <b/>
            <sz val="9"/>
            <color indexed="81"/>
            <rFont val="Tahoma"/>
            <family val="2"/>
          </rPr>
          <t>Válassz a listából!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3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3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35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A36" authorId="2">
      <text>
        <r>
          <rPr>
            <b/>
            <sz val="9"/>
            <color indexed="81"/>
            <rFont val="Tahoma"/>
            <family val="2"/>
          </rPr>
          <t xml:space="preserve">Válassz a listából!
</t>
        </r>
        <r>
          <rPr>
            <sz val="9"/>
            <color indexed="81"/>
            <rFont val="Tahoma"/>
            <family val="2"/>
            <charset val="238"/>
          </rPr>
          <t>A gorviki egyel alacsonyabb szintű shadoni nyelvtudást is jelent, és fordítva.
Hasonlóan az Ilanori - Yllinori, és a Pyarroni - Közös nyelvekkel.</t>
        </r>
      </text>
    </comment>
    <comment ref="AA37" authorId="2">
      <text>
        <r>
          <rPr>
            <b/>
            <sz val="9"/>
            <color indexed="81"/>
            <rFont val="Tahoma"/>
            <family val="2"/>
          </rPr>
          <t xml:space="preserve">Válassz a listából!
</t>
        </r>
        <r>
          <rPr>
            <sz val="9"/>
            <color indexed="81"/>
            <rFont val="Tahoma"/>
            <family val="2"/>
            <charset val="238"/>
          </rPr>
          <t>A gorviki egyel alacsonyabb szintű shadoni nyelvtudást is jelent, és fordítva.
Hasonlóan az Ilanori - Yllinori, és a Pyarroni - Közös nyelvekkel.</t>
        </r>
      </text>
    </comment>
  </commentList>
</comments>
</file>

<file path=xl/comments10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00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01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02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03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04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05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06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07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08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09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1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10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2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3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4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5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6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7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8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19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2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20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21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22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23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24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25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26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27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28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29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3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30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31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32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33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34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35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36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37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38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39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4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40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41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42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43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44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45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46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47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48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49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5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50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51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52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53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54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55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56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57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58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59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6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60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61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62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63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64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65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66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67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68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69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7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70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71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72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73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74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75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76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77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78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79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8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80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81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82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83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84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85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86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87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88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89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9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90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91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92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93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94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95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96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97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98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comments99.xml><?xml version="1.0" encoding="utf-8"?>
<comments xmlns="http://schemas.openxmlformats.org/spreadsheetml/2006/main">
  <authors>
    <author>Anyu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Amennyiben a képzettséget Kp-ból veszed, ebbe az oszlopba írd be, hogy mennyiért.</t>
        </r>
      </text>
    </comment>
  </commentList>
</comments>
</file>

<file path=xl/sharedStrings.xml><?xml version="1.0" encoding="utf-8"?>
<sst xmlns="http://schemas.openxmlformats.org/spreadsheetml/2006/main" count="7826" uniqueCount="984">
  <si>
    <t>Játékos neve:</t>
  </si>
  <si>
    <t>Erő:</t>
  </si>
  <si>
    <t>Állóképesség:</t>
  </si>
  <si>
    <t>Gyorsaság:</t>
  </si>
  <si>
    <t>Ügyesség:</t>
  </si>
  <si>
    <t>Egészség:</t>
  </si>
  <si>
    <t>Szépség:</t>
  </si>
  <si>
    <t>Intelligencia:</t>
  </si>
  <si>
    <t>Akaraterő:</t>
  </si>
  <si>
    <t>Asztrál:</t>
  </si>
  <si>
    <t>Érzékelés:</t>
  </si>
  <si>
    <t>Tulajdonság átlag:</t>
  </si>
  <si>
    <t>Karakter neve:</t>
  </si>
  <si>
    <t>Faj:</t>
  </si>
  <si>
    <t>Jellem:</t>
  </si>
  <si>
    <t>Vallás:</t>
  </si>
  <si>
    <t>Szülőföld:</t>
  </si>
  <si>
    <t>Iskola:</t>
  </si>
  <si>
    <t>Kaszt (első):</t>
  </si>
  <si>
    <t>Kaszt (második):</t>
  </si>
  <si>
    <t>Felhasznált Tp mennyiség</t>
  </si>
  <si>
    <t>Pszi:</t>
  </si>
  <si>
    <t>Szint (első kaszt):</t>
  </si>
  <si>
    <t>Szint (második kaszt):</t>
  </si>
  <si>
    <t>Megmaradt Tp:</t>
  </si>
  <si>
    <t>Szint:</t>
  </si>
  <si>
    <t>Iker/váltott kaszt:</t>
  </si>
  <si>
    <t>Tulajdonság átlag</t>
  </si>
  <si>
    <t>Mágia:</t>
  </si>
  <si>
    <t>Eldöntendő legördülő</t>
  </si>
  <si>
    <t>Van</t>
  </si>
  <si>
    <t>Nincs</t>
  </si>
  <si>
    <t>Pszi Tp költség:</t>
  </si>
  <si>
    <t>Mágia Tp költség:</t>
  </si>
  <si>
    <t>Ember</t>
  </si>
  <si>
    <t>Félelf</t>
  </si>
  <si>
    <t>Wier</t>
  </si>
  <si>
    <t>Udvari ork</t>
  </si>
  <si>
    <t>Törpe</t>
  </si>
  <si>
    <t>Elf</t>
  </si>
  <si>
    <t>Iker/ váltott kaszt</t>
  </si>
  <si>
    <t>Iker kaszt</t>
  </si>
  <si>
    <t>Váltott kaszt</t>
  </si>
  <si>
    <t>Harcos</t>
  </si>
  <si>
    <t>Kaszt választás és szintjének Tp költsége</t>
  </si>
  <si>
    <t>Gladiátor</t>
  </si>
  <si>
    <t>Fejvadász</t>
  </si>
  <si>
    <t>Lovag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</si>
  <si>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</si>
  <si>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</si>
  <si>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</si>
  <si>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</si>
  <si>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</si>
  <si>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</si>
  <si>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</si>
  <si>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</si>
  <si>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</si>
  <si>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Tolvaj</t>
  </si>
  <si>
    <t>Bárd</t>
  </si>
  <si>
    <t>Pap</t>
  </si>
  <si>
    <t>Paplovag</t>
  </si>
  <si>
    <t>Harcművész</t>
  </si>
  <si>
    <t>Kardművész</t>
  </si>
  <si>
    <t>Boszorkány</t>
  </si>
  <si>
    <t>Boszorkánymester</t>
  </si>
  <si>
    <t>Tűzvarázsló</t>
  </si>
  <si>
    <t>Váltás kezdete:</t>
  </si>
  <si>
    <t>Csapat neve:</t>
  </si>
  <si>
    <t>Felhasználható Tp:</t>
  </si>
  <si>
    <t>Egyéb kapott/költött:</t>
  </si>
  <si>
    <t>KÉ</t>
  </si>
  <si>
    <t>TÉ</t>
  </si>
  <si>
    <t>VÉ</t>
  </si>
  <si>
    <t>CÉ</t>
  </si>
  <si>
    <t>HM</t>
  </si>
  <si>
    <t>Kp alap</t>
  </si>
  <si>
    <t>Kp/szint</t>
  </si>
  <si>
    <t>ÉP alap</t>
  </si>
  <si>
    <t>FP alap</t>
  </si>
  <si>
    <t>FP/ szint</t>
  </si>
  <si>
    <t>Pszi típusa</t>
  </si>
  <si>
    <t>K6 dobás mennyi?</t>
  </si>
  <si>
    <t>HMminTÉ</t>
  </si>
  <si>
    <t>HMminVÉ</t>
  </si>
  <si>
    <t>Mp</t>
  </si>
  <si>
    <t>Pszi iskola:</t>
  </si>
  <si>
    <t>Páncél:</t>
  </si>
  <si>
    <t>Anyaga:</t>
  </si>
  <si>
    <t>SFÉ:</t>
  </si>
  <si>
    <t>MGT:</t>
  </si>
  <si>
    <t>Mesterfokú nehézvértviselet:</t>
  </si>
  <si>
    <t>Pyarroni Af</t>
  </si>
  <si>
    <t>Pyarroni Mf</t>
  </si>
  <si>
    <t>Kezdő pont</t>
  </si>
  <si>
    <t>Pszi iskola</t>
  </si>
  <si>
    <t>Pszi pont:</t>
  </si>
  <si>
    <t>aktuális Pp</t>
  </si>
  <si>
    <t>Mana pont:</t>
  </si>
  <si>
    <t>nincs</t>
  </si>
  <si>
    <t>Ép:</t>
  </si>
  <si>
    <t>Fp:</t>
  </si>
  <si>
    <t>Kor:</t>
  </si>
  <si>
    <t>Magasság:</t>
  </si>
  <si>
    <t>Súly:</t>
  </si>
  <si>
    <t>Hajszín:</t>
  </si>
  <si>
    <t>Szemszín:</t>
  </si>
  <si>
    <t>Bőrszín:</t>
  </si>
  <si>
    <t>Asztrális</t>
  </si>
  <si>
    <t>Mentális</t>
  </si>
  <si>
    <t>TME:</t>
  </si>
  <si>
    <t>Statikus:</t>
  </si>
  <si>
    <t>Dinam.:</t>
  </si>
  <si>
    <t>Egyéb:</t>
  </si>
  <si>
    <t>Teljes:</t>
  </si>
  <si>
    <t>Melyik kaszt számít:</t>
  </si>
  <si>
    <t>Sebzés</t>
  </si>
  <si>
    <t>Fegy. hasz Mf</t>
  </si>
  <si>
    <t>HM elosztása</t>
  </si>
  <si>
    <t>Fegyver nélkül</t>
  </si>
  <si>
    <t>HM(kötelező):</t>
  </si>
  <si>
    <t>Alap értékek</t>
  </si>
  <si>
    <t>Mód.</t>
  </si>
  <si>
    <t>Ennyi Kp átalakítása % -ra:</t>
  </si>
  <si>
    <t>Elkölthető százalék:</t>
  </si>
  <si>
    <t>%/szint</t>
  </si>
  <si>
    <t>Mászás</t>
  </si>
  <si>
    <t>Esés</t>
  </si>
  <si>
    <t>Ugrás</t>
  </si>
  <si>
    <t>Lopózás</t>
  </si>
  <si>
    <t>Rejtőzködés</t>
  </si>
  <si>
    <t>Kötéltánc</t>
  </si>
  <si>
    <t>Zsebmetszés</t>
  </si>
  <si>
    <t>Csapdafelfedezés</t>
  </si>
  <si>
    <t>Zárnyitás</t>
  </si>
  <si>
    <t>Titkosajtó keresés</t>
  </si>
  <si>
    <t>Alvilági képzettségek</t>
  </si>
  <si>
    <t>Kp</t>
  </si>
  <si>
    <t>Fok</t>
  </si>
  <si>
    <t>Harci képzettségek</t>
  </si>
  <si>
    <t>Tudományos képz.</t>
  </si>
  <si>
    <t>Világi képzettségek</t>
  </si>
  <si>
    <t>Slan-út</t>
  </si>
  <si>
    <t>Kyr metódus</t>
  </si>
  <si>
    <t>13+</t>
  </si>
  <si>
    <t>Iker Tp</t>
  </si>
  <si>
    <t>1 Tp ennyi ezüst:</t>
  </si>
  <si>
    <t>Rendelkezésre áll ezüstben:</t>
  </si>
  <si>
    <t>Tárolóhely</t>
  </si>
  <si>
    <t>Ár (e)</t>
  </si>
  <si>
    <t>Felszerelés megnevezése</t>
  </si>
  <si>
    <t>Jegyzet, ábra, rajz, stb</t>
  </si>
  <si>
    <t>Dervis</t>
  </si>
  <si>
    <t>Amazon</t>
  </si>
  <si>
    <t>Bajvívó</t>
  </si>
  <si>
    <t>Barbár</t>
  </si>
  <si>
    <t>Hadzsi</t>
  </si>
  <si>
    <t>Bahrada</t>
  </si>
  <si>
    <t>Egyedi</t>
  </si>
  <si>
    <t>Szerzetes</t>
  </si>
  <si>
    <t>Főnix</t>
  </si>
  <si>
    <t>Tám/kör</t>
  </si>
  <si>
    <t>Váltott kaszt esetén a második kaszt ennyi szintje - a harcértékben - nem számít:</t>
  </si>
  <si>
    <t>Khál</t>
  </si>
  <si>
    <t>erő</t>
  </si>
  <si>
    <t>gyorsaság</t>
  </si>
  <si>
    <t>ügyesség</t>
  </si>
  <si>
    <t>állóképesség</t>
  </si>
  <si>
    <t>egészség</t>
  </si>
  <si>
    <t>szépség</t>
  </si>
  <si>
    <t>intelligencia</t>
  </si>
  <si>
    <t>akaraterő</t>
  </si>
  <si>
    <t>asztrál</t>
  </si>
  <si>
    <t>érzékelés</t>
  </si>
  <si>
    <t>Tulajdonság költsége:</t>
  </si>
  <si>
    <t>Összes eltérés</t>
  </si>
  <si>
    <t>Választható fajok</t>
  </si>
  <si>
    <t>Tp költség</t>
  </si>
  <si>
    <t>Faji módosítók</t>
  </si>
  <si>
    <t>Pénzre váltás:</t>
  </si>
  <si>
    <t>Plusz képesség költség:</t>
  </si>
  <si>
    <t>Kf többlet költség:</t>
  </si>
  <si>
    <t>KF többlet</t>
  </si>
  <si>
    <t>Dzsenn</t>
  </si>
  <si>
    <t>Amund (alap)</t>
  </si>
  <si>
    <t>Amund (spec)</t>
  </si>
  <si>
    <t>3k6-1</t>
  </si>
  <si>
    <t>3k6</t>
  </si>
  <si>
    <t>3k6(2x)</t>
  </si>
  <si>
    <t>k10+6</t>
  </si>
  <si>
    <t>2k6+6</t>
  </si>
  <si>
    <t>k10+8</t>
  </si>
  <si>
    <t>k10+8(2x)</t>
  </si>
  <si>
    <t>k6+12</t>
  </si>
  <si>
    <t>k10+10</t>
  </si>
  <si>
    <t>k6+14</t>
  </si>
  <si>
    <t>Dobáskódok értéke</t>
  </si>
  <si>
    <t>Elkölthető Képzettségpont:</t>
  </si>
  <si>
    <t>Szúró-vágó fegyverek</t>
  </si>
  <si>
    <t>1,2;1,5</t>
  </si>
  <si>
    <t>Adag</t>
  </si>
  <si>
    <t>kategória v.rövid leírás</t>
  </si>
  <si>
    <t>Név</t>
  </si>
  <si>
    <t>Kategória</t>
  </si>
  <si>
    <t>T/k</t>
  </si>
  <si>
    <t>Ké</t>
  </si>
  <si>
    <t>Té/Cé</t>
  </si>
  <si>
    <t>Vé/m</t>
  </si>
  <si>
    <t>Sebz.járulék</t>
  </si>
  <si>
    <t>Súly (Kg)</t>
  </si>
  <si>
    <t>Ár</t>
  </si>
  <si>
    <t>Kezes</t>
  </si>
  <si>
    <t>Méreg</t>
  </si>
  <si>
    <t>Ismertetés</t>
  </si>
  <si>
    <t>Leírás (kiadvány)</t>
  </si>
  <si>
    <t>Agínkés</t>
  </si>
  <si>
    <t xml:space="preserve">Szúró-vágó  </t>
  </si>
  <si>
    <t>K3</t>
  </si>
  <si>
    <t>e16fr</t>
  </si>
  <si>
    <t>1</t>
  </si>
  <si>
    <t>0</t>
  </si>
  <si>
    <t>2</t>
  </si>
  <si>
    <t>Az enoszukei kard kiegészítő kése</t>
  </si>
  <si>
    <t>E,218</t>
  </si>
  <si>
    <t>Áldozókés</t>
  </si>
  <si>
    <t>K6+2</t>
  </si>
  <si>
    <t>0,3</t>
  </si>
  <si>
    <t>5</t>
  </si>
  <si>
    <t>8</t>
  </si>
  <si>
    <t>Ranagol-papok kése</t>
  </si>
  <si>
    <t>PPL2,89</t>
  </si>
  <si>
    <t>Áldozótőr</t>
  </si>
  <si>
    <t>K6</t>
  </si>
  <si>
    <t>6e</t>
  </si>
  <si>
    <t>Orwella-papnők görbe, kétélű kése</t>
  </si>
  <si>
    <t>PPL1,118</t>
  </si>
  <si>
    <t>Béltépő</t>
  </si>
  <si>
    <t>5e</t>
  </si>
  <si>
    <t>-</t>
  </si>
  <si>
    <t>UT,337</t>
  </si>
  <si>
    <t>Bojtos kard</t>
  </si>
  <si>
    <t>1 gió</t>
  </si>
  <si>
    <t>6</t>
  </si>
  <si>
    <t>E,217</t>
  </si>
  <si>
    <t>Claor</t>
  </si>
  <si>
    <t>1a</t>
  </si>
  <si>
    <t>yankari légiósszablya</t>
  </si>
  <si>
    <t>S</t>
  </si>
  <si>
    <t>e14fr</t>
  </si>
  <si>
    <t>Denevérszárny</t>
  </si>
  <si>
    <t>K6+2/K6</t>
  </si>
  <si>
    <t>1,1</t>
  </si>
  <si>
    <t>2a</t>
  </si>
  <si>
    <t>4+4</t>
  </si>
  <si>
    <t>Dokan</t>
  </si>
  <si>
    <t>K6+1</t>
  </si>
  <si>
    <t>5 me</t>
  </si>
  <si>
    <t>enoszukei fakard</t>
  </si>
  <si>
    <t>Dzsambia</t>
  </si>
  <si>
    <t>4e</t>
  </si>
  <si>
    <t>3</t>
  </si>
  <si>
    <t>dzsad tőr</t>
  </si>
  <si>
    <t>szótár</t>
  </si>
  <si>
    <t>Egyeneskard</t>
  </si>
  <si>
    <t>K10</t>
  </si>
  <si>
    <t>PPL1,116</t>
  </si>
  <si>
    <t>Egykezes Szarvkard</t>
  </si>
  <si>
    <t>1,4</t>
  </si>
  <si>
    <t>nem kapható</t>
  </si>
  <si>
    <t>7</t>
  </si>
  <si>
    <t>TF,18</t>
  </si>
  <si>
    <t>Enoszukei széles kard</t>
  </si>
  <si>
    <t>K6+3</t>
  </si>
  <si>
    <t>2 gió</t>
  </si>
  <si>
    <t>1/2</t>
  </si>
  <si>
    <t>0,8</t>
  </si>
  <si>
    <t>4</t>
  </si>
  <si>
    <t>UT,335</t>
  </si>
  <si>
    <t>Fogastőr</t>
  </si>
  <si>
    <t>3a</t>
  </si>
  <si>
    <t>K10+1</t>
  </si>
  <si>
    <t>2,2</t>
  </si>
  <si>
    <t>8e</t>
  </si>
  <si>
    <t>10</t>
  </si>
  <si>
    <t>TF,231</t>
  </si>
  <si>
    <t>Handzsár</t>
  </si>
  <si>
    <t>15e</t>
  </si>
  <si>
    <t>Dzsad szablya</t>
  </si>
  <si>
    <t>Hárítótőr</t>
  </si>
  <si>
    <t>2e</t>
  </si>
  <si>
    <t>UT,336</t>
  </si>
  <si>
    <t>Háromágú hárítótőr</t>
  </si>
  <si>
    <t>K6-1</t>
  </si>
  <si>
    <t>Hegyestőr</t>
  </si>
  <si>
    <t>1,3</t>
  </si>
  <si>
    <t>5a</t>
  </si>
  <si>
    <t>Hiequar</t>
  </si>
  <si>
    <t>K6+4</t>
  </si>
  <si>
    <t>50a</t>
  </si>
  <si>
    <t>kráni elf kard</t>
  </si>
  <si>
    <t>Holdsarló</t>
  </si>
  <si>
    <t>K5</t>
  </si>
  <si>
    <t>0,2</t>
  </si>
  <si>
    <t>HcmFvt,7</t>
  </si>
  <si>
    <t>Hollószárny</t>
  </si>
  <si>
    <t>0,6</t>
  </si>
  <si>
    <t>HcmFvt,6</t>
  </si>
  <si>
    <t>Horgaskard</t>
  </si>
  <si>
    <t>2K6+2</t>
  </si>
  <si>
    <t>1-1,3</t>
  </si>
  <si>
    <t>3-6</t>
  </si>
  <si>
    <t>Hosszúkard</t>
  </si>
  <si>
    <t>1,5</t>
  </si>
  <si>
    <t>UT,334</t>
  </si>
  <si>
    <t>Ívkard</t>
  </si>
  <si>
    <t>Jatagán</t>
  </si>
  <si>
    <t>14e</t>
  </si>
  <si>
    <t>kettősívű dzsad kard</t>
  </si>
  <si>
    <t>2K6+3</t>
  </si>
  <si>
    <t>0,5</t>
  </si>
  <si>
    <t>120a</t>
  </si>
  <si>
    <t>Kagylóbontó</t>
  </si>
  <si>
    <t>1e</t>
  </si>
  <si>
    <t>Gyker.fvkl.</t>
  </si>
  <si>
    <t>Katana</t>
  </si>
  <si>
    <t>40a</t>
  </si>
  <si>
    <t>Kés</t>
  </si>
  <si>
    <t>50r</t>
  </si>
  <si>
    <t>Khiel</t>
  </si>
  <si>
    <t>Khossas</t>
  </si>
  <si>
    <t>0,7</t>
  </si>
  <si>
    <t>15a</t>
  </si>
  <si>
    <t>elf kard</t>
  </si>
  <si>
    <t>Kígyókard</t>
  </si>
  <si>
    <t>6a</t>
  </si>
  <si>
    <t>Lagoss</t>
  </si>
  <si>
    <t>Láncos holdsarló</t>
  </si>
  <si>
    <t>Levéltőr</t>
  </si>
  <si>
    <t>Lovagkard</t>
  </si>
  <si>
    <t>3,5</t>
  </si>
  <si>
    <t>Mendra</t>
  </si>
  <si>
    <t>boszorkányvadászok rövid szblyája</t>
  </si>
  <si>
    <t>PPL2,55</t>
  </si>
  <si>
    <t>Mara sequor</t>
  </si>
  <si>
    <t>2K6+1</t>
  </si>
  <si>
    <t>Másfélkezes kard</t>
  </si>
  <si>
    <t>2K6</t>
  </si>
  <si>
    <t>25e</t>
  </si>
  <si>
    <t>Meneth</t>
  </si>
  <si>
    <t>K6+5</t>
  </si>
  <si>
    <t>amund kard</t>
  </si>
  <si>
    <t>Méregfog</t>
  </si>
  <si>
    <t>0,1</t>
  </si>
  <si>
    <t>Mesterkard</t>
  </si>
  <si>
    <t>8a</t>
  </si>
  <si>
    <t>Nató</t>
  </si>
  <si>
    <t>15 me</t>
  </si>
  <si>
    <t>enoszukei tőr</t>
  </si>
  <si>
    <t>Niarei egyenes kard</t>
  </si>
  <si>
    <t>1,2 gió</t>
  </si>
  <si>
    <t>Nódaisi</t>
  </si>
  <si>
    <t>3K6+1</t>
  </si>
  <si>
    <t>8 gió</t>
  </si>
  <si>
    <t>9</t>
  </si>
  <si>
    <t>Enoszukei pallos</t>
  </si>
  <si>
    <t>Nyílpuska szurony</t>
  </si>
  <si>
    <t>+0,2</t>
  </si>
  <si>
    <t>+2e</t>
  </si>
  <si>
    <t>Ököltőr</t>
  </si>
  <si>
    <t>3e</t>
  </si>
  <si>
    <t>Pallos</t>
  </si>
  <si>
    <t>1,2</t>
  </si>
  <si>
    <t>Pugoss</t>
  </si>
  <si>
    <t>Ramiera</t>
  </si>
  <si>
    <t>Rövidkard</t>
  </si>
  <si>
    <t>Sai</t>
  </si>
  <si>
    <t>Sarlókés</t>
  </si>
  <si>
    <t>Sequor</t>
  </si>
  <si>
    <t>0,4</t>
  </si>
  <si>
    <t>13e</t>
  </si>
  <si>
    <t>Slan kard</t>
  </si>
  <si>
    <t>K10+2</t>
  </si>
  <si>
    <t>100a</t>
  </si>
  <si>
    <t>Slan tőr</t>
  </si>
  <si>
    <t>70a</t>
  </si>
  <si>
    <t>Sótó</t>
  </si>
  <si>
    <t>enoszukei rövidkard</t>
  </si>
  <si>
    <t>Sryn-tőr</t>
  </si>
  <si>
    <t>Szablya</t>
  </si>
  <si>
    <t>16e</t>
  </si>
  <si>
    <t>Szarvkard</t>
  </si>
  <si>
    <t>Széleskard</t>
  </si>
  <si>
    <t>Taitó</t>
  </si>
  <si>
    <t>5 gió</t>
  </si>
  <si>
    <t>enuszukei hosszúkard</t>
  </si>
  <si>
    <t>Tanto</t>
  </si>
  <si>
    <t>K4+2</t>
  </si>
  <si>
    <t>Thadzsi</t>
  </si>
  <si>
    <t xml:space="preserve">Tőr </t>
  </si>
  <si>
    <t>Tőrkard</t>
  </si>
  <si>
    <t>vívótőr</t>
  </si>
  <si>
    <t>Tőrkarom</t>
  </si>
  <si>
    <t>0,9</t>
  </si>
  <si>
    <t>Triád</t>
  </si>
  <si>
    <t>Vadászkés</t>
  </si>
  <si>
    <t>Wakizasi</t>
  </si>
  <si>
    <t>Bóla</t>
  </si>
  <si>
    <t>Dobó</t>
  </si>
  <si>
    <t>40r</t>
  </si>
  <si>
    <t>UT,341</t>
  </si>
  <si>
    <t>Dobóháló</t>
  </si>
  <si>
    <t>Dobótőr</t>
  </si>
  <si>
    <t>150r</t>
  </si>
  <si>
    <t>Hajítóbárd</t>
  </si>
  <si>
    <t>UT,339</t>
  </si>
  <si>
    <t>Hajítódárda</t>
  </si>
  <si>
    <t>1-2</t>
  </si>
  <si>
    <t>Lasszó</t>
  </si>
  <si>
    <t>80r</t>
  </si>
  <si>
    <t>Paldium</t>
  </si>
  <si>
    <t>abasziszi pillum</t>
  </si>
  <si>
    <t>UT,340</t>
  </si>
  <si>
    <t>Slan csillag</t>
  </si>
  <si>
    <t>Uja</t>
  </si>
  <si>
    <t>4 me</t>
  </si>
  <si>
    <t>enoszukei hajítódárda</t>
  </si>
  <si>
    <t>E221</t>
  </si>
  <si>
    <t>Acélkorbács</t>
  </si>
  <si>
    <t>Zúzó</t>
  </si>
  <si>
    <t>Csatacsákány</t>
  </si>
  <si>
    <t>UT,338</t>
  </si>
  <si>
    <t>Csatacsillag</t>
  </si>
  <si>
    <t>2K6+4</t>
  </si>
  <si>
    <t>Cséphadaró</t>
  </si>
  <si>
    <t>7e</t>
  </si>
  <si>
    <t>Egykezes buzogány</t>
  </si>
  <si>
    <t>UtT,338</t>
  </si>
  <si>
    <t>Egykezes csatabárd</t>
  </si>
  <si>
    <t>Furkósbot</t>
  </si>
  <si>
    <t>Hadijogar</t>
  </si>
  <si>
    <t>PPL2,53</t>
  </si>
  <si>
    <t>Harci kalapács</t>
  </si>
  <si>
    <t>Hosszúbot</t>
  </si>
  <si>
    <t>Két-háromrészes bot</t>
  </si>
  <si>
    <t>Kétkezes buzogány</t>
  </si>
  <si>
    <t>12e</t>
  </si>
  <si>
    <t>Kétkezes csatabárd</t>
  </si>
  <si>
    <t>2K6+6</t>
  </si>
  <si>
    <t>Láncos buzogány</t>
  </si>
  <si>
    <t>Nunchaku</t>
  </si>
  <si>
    <t>Rövidbot</t>
  </si>
  <si>
    <t>30r</t>
  </si>
  <si>
    <t>Shadleki buzogány</t>
  </si>
  <si>
    <t>Tagló</t>
  </si>
  <si>
    <t>Tollas buzogány</t>
  </si>
  <si>
    <t>11e</t>
  </si>
  <si>
    <t>Tonfa</t>
  </si>
  <si>
    <t>Tüskés balta</t>
  </si>
  <si>
    <t>Tüskés buzogány</t>
  </si>
  <si>
    <t>Vaskígyó</t>
  </si>
  <si>
    <t>Vasmarok</t>
  </si>
  <si>
    <t>Khast</t>
  </si>
  <si>
    <t>törpe harci kesztyű</t>
  </si>
  <si>
    <t>Enoszukei harci kalapács</t>
  </si>
  <si>
    <t>3K6-2</t>
  </si>
  <si>
    <t>E,219</t>
  </si>
  <si>
    <t>usinó</t>
  </si>
  <si>
    <t xml:space="preserve">3K6 </t>
  </si>
  <si>
    <t>enoszukei kétkezes csatabárd</t>
  </si>
  <si>
    <t>Szogarai</t>
  </si>
  <si>
    <t>4 gió</t>
  </si>
  <si>
    <t>enoszukei harci gereblye</t>
  </si>
  <si>
    <t>E,220</t>
  </si>
  <si>
    <t>Tecudó</t>
  </si>
  <si>
    <t>enoszukei szöges bunkó</t>
  </si>
  <si>
    <t>Dó</t>
  </si>
  <si>
    <t>2 me</t>
  </si>
  <si>
    <t>enoszukei hosszú bot</t>
  </si>
  <si>
    <t>Só</t>
  </si>
  <si>
    <t>K3+1</t>
  </si>
  <si>
    <t>1,5 me</t>
  </si>
  <si>
    <t>enoszukei közepes bot</t>
  </si>
  <si>
    <t>Handó</t>
  </si>
  <si>
    <t>enoszukei rövid bot</t>
  </si>
  <si>
    <t>E,221</t>
  </si>
  <si>
    <t>Alabárd</t>
  </si>
  <si>
    <t>Szál</t>
  </si>
  <si>
    <t>Bambusznagí</t>
  </si>
  <si>
    <t>enoszukei bambuszlándzsa</t>
  </si>
  <si>
    <t>Bokhan-tó</t>
  </si>
  <si>
    <t>3K6-1</t>
  </si>
  <si>
    <t>enoszukei nehéz lándzsakard</t>
  </si>
  <si>
    <t>Dipada</t>
  </si>
  <si>
    <t>K10/K6+2</t>
  </si>
  <si>
    <t>3+2</t>
  </si>
  <si>
    <t>kéthegyű "lándzsa"</t>
  </si>
  <si>
    <t>Glefe</t>
  </si>
  <si>
    <t>felföldi alabárd, pengényi, kampós bárdpengével</t>
  </si>
  <si>
    <t>Hosszúnyelű kard</t>
  </si>
  <si>
    <t>6 gió</t>
  </si>
  <si>
    <t>Jahita</t>
  </si>
  <si>
    <t>enoszukei lándzsakard</t>
  </si>
  <si>
    <t>Könnyű kopja</t>
  </si>
  <si>
    <t>9e</t>
  </si>
  <si>
    <t>Könnyűlovas kopja</t>
  </si>
  <si>
    <t xml:space="preserve">2K6 </t>
  </si>
  <si>
    <t>Lándzsa</t>
  </si>
  <si>
    <t>Nagí</t>
  </si>
  <si>
    <t>8 me</t>
  </si>
  <si>
    <t>2-3</t>
  </si>
  <si>
    <t xml:space="preserve">enoszukei lándzsa </t>
  </si>
  <si>
    <t>Nehézlovas kopja</t>
  </si>
  <si>
    <t>2K10</t>
  </si>
  <si>
    <t>Nyárs</t>
  </si>
  <si>
    <t xml:space="preserve">K10 </t>
  </si>
  <si>
    <t>Ostromkasza</t>
  </si>
  <si>
    <t>2K10+2</t>
  </si>
  <si>
    <t xml:space="preserve">Papi csákány                                                                                                                                                                          </t>
  </si>
  <si>
    <t>3 gió</t>
  </si>
  <si>
    <t>2-5</t>
  </si>
  <si>
    <t>Partizán</t>
  </si>
  <si>
    <t>déli városállamok két fogas lándzsája</t>
  </si>
  <si>
    <t>Pika</t>
  </si>
  <si>
    <t>toroni "nyárs"hegy, körlappal</t>
  </si>
  <si>
    <t>Runka</t>
  </si>
  <si>
    <t>nyárshegyű, félholdfogú partizán</t>
  </si>
  <si>
    <t>Shang kauw</t>
  </si>
  <si>
    <t>Késbárd</t>
  </si>
  <si>
    <t>Szigony</t>
  </si>
  <si>
    <t>Anasakó, asakó</t>
  </si>
  <si>
    <t>Különleges</t>
  </si>
  <si>
    <t>50 ban</t>
  </si>
  <si>
    <t>enoszukei mászókarmok</t>
  </si>
  <si>
    <t>E,224</t>
  </si>
  <si>
    <t>Arugama</t>
  </si>
  <si>
    <t>nem.kaph.</t>
  </si>
  <si>
    <t>enoszukei láncos sarló</t>
  </si>
  <si>
    <t>E,223</t>
  </si>
  <si>
    <t>Dzsitte</t>
  </si>
  <si>
    <t>enoszukei varázslóbot</t>
  </si>
  <si>
    <t>Enoszukei vaskígyó</t>
  </si>
  <si>
    <t>Garott</t>
  </si>
  <si>
    <t>1TK,348</t>
  </si>
  <si>
    <t>Hagai</t>
  </si>
  <si>
    <t>enoszukei holdsarló</t>
  </si>
  <si>
    <t>Háromrészes csaku</t>
  </si>
  <si>
    <t>enoszukei háromrészes bot</t>
  </si>
  <si>
    <t>Kétrészes csaku</t>
  </si>
  <si>
    <t>enoszukei kétrészes bot</t>
  </si>
  <si>
    <t>Khál mancs</t>
  </si>
  <si>
    <t xml:space="preserve">K6 </t>
  </si>
  <si>
    <t>Korbács</t>
  </si>
  <si>
    <t>120r</t>
  </si>
  <si>
    <t>UT,342</t>
  </si>
  <si>
    <t>Kri'tul</t>
  </si>
  <si>
    <t>enoszukei sarlókés</t>
  </si>
  <si>
    <t>Mori-mitari</t>
  </si>
  <si>
    <t>enoszukei tonfa</t>
  </si>
  <si>
    <t>Nekode</t>
  </si>
  <si>
    <t>enoszukei harci kesztyű</t>
  </si>
  <si>
    <t>Ostor</t>
  </si>
  <si>
    <t>K2</t>
  </si>
  <si>
    <t>Ököl</t>
  </si>
  <si>
    <t>Sinobi-tó</t>
  </si>
  <si>
    <t>enoszukei ninjakard</t>
  </si>
  <si>
    <t>Sógi-na</t>
  </si>
  <si>
    <t>Szasai</t>
  </si>
  <si>
    <t>enoszukei sai</t>
  </si>
  <si>
    <t>Tekiszen</t>
  </si>
  <si>
    <t>enousukei harci legyező</t>
  </si>
  <si>
    <t>Tűgyűrű</t>
  </si>
  <si>
    <t>tű</t>
  </si>
  <si>
    <t>Vasököl</t>
  </si>
  <si>
    <t>Aquir nyílpuska</t>
  </si>
  <si>
    <t>Célzó</t>
  </si>
  <si>
    <t>1000a</t>
  </si>
  <si>
    <t>UT,344</t>
  </si>
  <si>
    <t>Arbalet</t>
  </si>
  <si>
    <t>parittyaíj</t>
  </si>
  <si>
    <t>Elf íj</t>
  </si>
  <si>
    <t>UT,343</t>
  </si>
  <si>
    <t>Ferdeíj</t>
  </si>
  <si>
    <t>enoszukei íj</t>
  </si>
  <si>
    <t>Fusaa</t>
  </si>
  <si>
    <t>K6 *</t>
  </si>
  <si>
    <t>enoszukei fúvócső</t>
  </si>
  <si>
    <t>Fúvócső</t>
  </si>
  <si>
    <t>0.2</t>
  </si>
  <si>
    <t>Goblin íj</t>
  </si>
  <si>
    <t>Hosszú íj</t>
  </si>
  <si>
    <t>Kézi nyílpuska</t>
  </si>
  <si>
    <t>20a</t>
  </si>
  <si>
    <t>Kharei nyílpuska</t>
  </si>
  <si>
    <t>80a</t>
  </si>
  <si>
    <t>Könnyű nyílpuska</t>
  </si>
  <si>
    <t>Mirako</t>
  </si>
  <si>
    <t>Elar íj</t>
  </si>
  <si>
    <t>Nehéz nyílpuska</t>
  </si>
  <si>
    <t>12a</t>
  </si>
  <si>
    <t>Niarei íj</t>
  </si>
  <si>
    <t>enoszukei (niarei) nyílpuska</t>
  </si>
  <si>
    <t>Parittya</t>
  </si>
  <si>
    <t>Rövid íj</t>
  </si>
  <si>
    <t>Shadoni páncéltörő</t>
  </si>
  <si>
    <t>Tűvető</t>
  </si>
  <si>
    <t>Visszacsapó íj</t>
  </si>
  <si>
    <t>25a</t>
  </si>
  <si>
    <t>Kis pajzs</t>
  </si>
  <si>
    <t>Pajzs</t>
  </si>
  <si>
    <t>20</t>
  </si>
  <si>
    <t>UT,348</t>
  </si>
  <si>
    <t>Közepes pajzs</t>
  </si>
  <si>
    <t>35</t>
  </si>
  <si>
    <t>Nagy pajzs</t>
  </si>
  <si>
    <t>50</t>
  </si>
  <si>
    <t>12</t>
  </si>
  <si>
    <t>Pavéze pajzs</t>
  </si>
  <si>
    <t>2, -</t>
  </si>
  <si>
    <t>íjász fedezék</t>
  </si>
  <si>
    <t>TF,264</t>
  </si>
  <si>
    <t>Zúzópajzs</t>
  </si>
  <si>
    <t>Arshuri pajzs</t>
  </si>
  <si>
    <t>3+2+2</t>
  </si>
  <si>
    <t>pengés pajzs</t>
  </si>
  <si>
    <t>Kalandozók</t>
  </si>
  <si>
    <t>Bozótvágó kés</t>
  </si>
  <si>
    <t>1 e</t>
  </si>
  <si>
    <t>Kotar csillag</t>
  </si>
  <si>
    <t>60 r</t>
  </si>
  <si>
    <t>Jégcsákány</t>
  </si>
  <si>
    <t>11</t>
  </si>
  <si>
    <t>8 e</t>
  </si>
  <si>
    <t>Marena (angolnatőr)</t>
  </si>
  <si>
    <t>2+2</t>
  </si>
  <si>
    <t>Csákány (munka)</t>
  </si>
  <si>
    <t>Predoci egyeneskard</t>
  </si>
  <si>
    <t>Fejvadászkard</t>
  </si>
  <si>
    <t>Dzsenn szablya</t>
  </si>
  <si>
    <t>3K6+2</t>
  </si>
  <si>
    <t>Sebzés+erő b.</t>
  </si>
  <si>
    <t>40</t>
  </si>
  <si>
    <t>25</t>
  </si>
  <si>
    <t>3 fegyver használat</t>
  </si>
  <si>
    <t>Af</t>
  </si>
  <si>
    <t>lovaglás</t>
  </si>
  <si>
    <t>úszás</t>
  </si>
  <si>
    <t>futás</t>
  </si>
  <si>
    <t>időjóslás</t>
  </si>
  <si>
    <t>herbalizmus</t>
  </si>
  <si>
    <t>nyomolvasás/eltüntetés</t>
  </si>
  <si>
    <t>csapdaállítás</t>
  </si>
  <si>
    <t>hangutánzás</t>
  </si>
  <si>
    <t>erdőjárás</t>
  </si>
  <si>
    <t>Mf</t>
  </si>
  <si>
    <t>vadászat/halászat</t>
  </si>
  <si>
    <t>szexuális kultúra</t>
  </si>
  <si>
    <t>harci láz</t>
  </si>
  <si>
    <t>lefegyverzés</t>
  </si>
  <si>
    <t>vakharc</t>
  </si>
  <si>
    <t>fegyverismeret</t>
  </si>
  <si>
    <t>írás/olvasás</t>
  </si>
  <si>
    <t>pszi</t>
  </si>
  <si>
    <t>heraldika</t>
  </si>
  <si>
    <t>legendaismeret</t>
  </si>
  <si>
    <t>történelemismeret</t>
  </si>
  <si>
    <t>vallásismeret</t>
  </si>
  <si>
    <t>etikett</t>
  </si>
  <si>
    <t>éneklés/zenélés</t>
  </si>
  <si>
    <t>tánc (udvari stílus)</t>
  </si>
  <si>
    <t>1 fegyver használat</t>
  </si>
  <si>
    <t>ökölharc</t>
  </si>
  <si>
    <t>birkózás</t>
  </si>
  <si>
    <t>fegyvertörés</t>
  </si>
  <si>
    <t>belharc</t>
  </si>
  <si>
    <t>1 fegy.dob. (lándzsa)</t>
  </si>
  <si>
    <t>fegy.hasz.(rövidkard)</t>
  </si>
  <si>
    <t>fegy.hasz.(lándzsa)</t>
  </si>
  <si>
    <t>pajzshasználat</t>
  </si>
  <si>
    <t>nehézvértviselet</t>
  </si>
  <si>
    <t>hadrend</t>
  </si>
  <si>
    <t>Abasziszi_Falanxharcos</t>
  </si>
  <si>
    <t>Dwoon_Vértes_gyalogos</t>
  </si>
  <si>
    <t>Dwoon_Fehér_lovas</t>
  </si>
  <si>
    <t>idomítás</t>
  </si>
  <si>
    <t>fegy. hasz. (szablya)</t>
  </si>
  <si>
    <t>fegy. hasz. (k.kopja)</t>
  </si>
  <si>
    <t>Erigowi_Szabad_Lovas</t>
  </si>
  <si>
    <t>Ereni_Kékköpenyes</t>
  </si>
  <si>
    <t>hadvezetés</t>
  </si>
  <si>
    <t>fegy.hasz. (k.kopja)</t>
  </si>
  <si>
    <t>Erigowi_Talpas</t>
  </si>
  <si>
    <t>Gianagi_Alabárdos</t>
  </si>
  <si>
    <t>Erigowi_Íjász</t>
  </si>
  <si>
    <t>fegy.hasz. (k.nyílpuska)</t>
  </si>
  <si>
    <t>fegy.hasz. (rövidkard)</t>
  </si>
  <si>
    <t>fegy.hasz. (n.nyílpuska)</t>
  </si>
  <si>
    <t>fegy.hasz.(alabárd)</t>
  </si>
  <si>
    <t>fegy.hasz.(hosszúkard)</t>
  </si>
  <si>
    <t>Haonwell_Alborne_Csill.</t>
  </si>
  <si>
    <t>Haonwell_Nerton</t>
  </si>
  <si>
    <t>kétkezes harc</t>
  </si>
  <si>
    <t>zsonglőrködés</t>
  </si>
  <si>
    <t>Ilanori_Vágtató</t>
  </si>
  <si>
    <t>fegy.hasz. (íj)</t>
  </si>
  <si>
    <t>szakma (íjkészítő)</t>
  </si>
  <si>
    <t>szakma (lócsiszár)</t>
  </si>
  <si>
    <t>sebgyógyítás</t>
  </si>
  <si>
    <t>Törpe_Harcos</t>
  </si>
  <si>
    <t>Sirenari_Erdőjáró</t>
  </si>
  <si>
    <t>fegy.hasz. (elf íj)</t>
  </si>
  <si>
    <t>csomózás</t>
  </si>
  <si>
    <t>fegyverdobás</t>
  </si>
  <si>
    <t>térképészet</t>
  </si>
  <si>
    <t>építészet</t>
  </si>
  <si>
    <t>Rackla_lovas</t>
  </si>
  <si>
    <t>idomítás (rackla)</t>
  </si>
  <si>
    <t>nyomolvasás/elt.</t>
  </si>
  <si>
    <t>Hangutánzás</t>
  </si>
  <si>
    <t>Tiadlani_Kardmester</t>
  </si>
  <si>
    <t>fegy.hasz. (mesterkard)</t>
  </si>
  <si>
    <t>Toroni_Ezüstkard_Bajnok</t>
  </si>
  <si>
    <t>fegyver dobás</t>
  </si>
  <si>
    <t>Toroni_Elitharcos</t>
  </si>
  <si>
    <t>Predoci_Vértes</t>
  </si>
  <si>
    <t>Edorli_Gyalogos</t>
  </si>
  <si>
    <t>Harcos_tengerészek</t>
  </si>
  <si>
    <t>tengerjárás</t>
  </si>
  <si>
    <t>hajózás</t>
  </si>
  <si>
    <t>Praedarmon_Lobogói</t>
  </si>
  <si>
    <t>Syburri_Vértesgyalogos</t>
  </si>
  <si>
    <t>hadvezetés (gyalogság)</t>
  </si>
  <si>
    <t>Nasti_könnyűlovas</t>
  </si>
  <si>
    <t>puszták ismerete</t>
  </si>
  <si>
    <t>Ordani_lángőr</t>
  </si>
  <si>
    <t>vallásismeret (Sorgon)</t>
  </si>
  <si>
    <t>tűzmágia használat</t>
  </si>
  <si>
    <t>sivatagjárás</t>
  </si>
  <si>
    <t>állatismeret</t>
  </si>
  <si>
    <t>Birodalmi_zsoldosok</t>
  </si>
  <si>
    <t>Gorvik_Szabad_harcos</t>
  </si>
  <si>
    <t>hátbaszúrás</t>
  </si>
  <si>
    <t>vallásimseret (Ranagol)</t>
  </si>
  <si>
    <t>etikett (gorviki)</t>
  </si>
  <si>
    <t>Gorvik_Tengeri_vadász</t>
  </si>
  <si>
    <t>Kráni_Szabados</t>
  </si>
  <si>
    <t>Yllinori_Sólyom</t>
  </si>
  <si>
    <t>Yllinori_Kopjás_Farkas</t>
  </si>
  <si>
    <t>fegy.hasz. (k. kopja)</t>
  </si>
  <si>
    <t>fegy.hasz. (h.kard)</t>
  </si>
  <si>
    <t>Yllinori_Vaslovas</t>
  </si>
  <si>
    <t>fegy.hasz. (n.kopja)</t>
  </si>
  <si>
    <t>fegy.hasz. (mk.kard)</t>
  </si>
  <si>
    <t>fegy.hasz. (1k csatabárd)</t>
  </si>
  <si>
    <t>Yllinori_Medve</t>
  </si>
  <si>
    <t>fegy.hasz.(1k csatabárd)</t>
  </si>
  <si>
    <t>Yllinori_Sas</t>
  </si>
  <si>
    <t>fegy.hasz. (rövid kard)</t>
  </si>
  <si>
    <t>fegy.hasz. (rövid íj)</t>
  </si>
  <si>
    <t>fegy.hasz. (hosszú íj)</t>
  </si>
  <si>
    <t>szakma íjkészítés</t>
  </si>
  <si>
    <t>célzás</t>
  </si>
  <si>
    <t>álcázás/álruha</t>
  </si>
  <si>
    <t>földharc</t>
  </si>
  <si>
    <t>kínzás elviselése</t>
  </si>
  <si>
    <t>2 fegyverhasználat</t>
  </si>
  <si>
    <t>értékbecslés</t>
  </si>
  <si>
    <t>kocsmai verekedés</t>
  </si>
  <si>
    <t>mellébeszélés</t>
  </si>
  <si>
    <t>4 fegyver használata</t>
  </si>
  <si>
    <t>hamiskártya</t>
  </si>
  <si>
    <t>1 fegyverhasználat</t>
  </si>
  <si>
    <t>kultúra (saját)</t>
  </si>
  <si>
    <t>helyismeret</t>
  </si>
  <si>
    <t>erkölcs</t>
  </si>
  <si>
    <t>vallásismeret (saját)</t>
  </si>
  <si>
    <t>lélektan</t>
  </si>
  <si>
    <t>Adron_pap</t>
  </si>
  <si>
    <t>alkímia</t>
  </si>
  <si>
    <t>mágihasználat</t>
  </si>
  <si>
    <t>Alborne_pap</t>
  </si>
  <si>
    <t>művészettörténet</t>
  </si>
  <si>
    <t>választott művészet</t>
  </si>
  <si>
    <t>Antoh_pap</t>
  </si>
  <si>
    <t>Arel_pap_Sólyomszív</t>
  </si>
  <si>
    <t>fegy.hasz.(hosszú íj)</t>
  </si>
  <si>
    <t>vadászat</t>
  </si>
  <si>
    <t>Solymászat</t>
  </si>
  <si>
    <t>Arel_pap_Sólyomcsőr</t>
  </si>
  <si>
    <t>Arel_pap_Sólyomkarom</t>
  </si>
  <si>
    <t>Darton_pap</t>
  </si>
  <si>
    <t>3 fegyverhasználat</t>
  </si>
  <si>
    <t>élettan</t>
  </si>
  <si>
    <t>balzsamozás</t>
  </si>
  <si>
    <t>ének/zene</t>
  </si>
  <si>
    <t>ének/zene (gyászzene)</t>
  </si>
  <si>
    <t>mágiaism.(nekrom.)</t>
  </si>
  <si>
    <t>Della_pap</t>
  </si>
  <si>
    <t>válaszott művészet</t>
  </si>
  <si>
    <t>Doldzsah_pap</t>
  </si>
  <si>
    <t>Domvik_pap</t>
  </si>
  <si>
    <t>ősi nyelv (L.D.)</t>
  </si>
  <si>
    <t>tánc</t>
  </si>
  <si>
    <t>Dzsah_pap</t>
  </si>
  <si>
    <t>szakma</t>
  </si>
  <si>
    <t>jog/törvénykezés</t>
  </si>
  <si>
    <t>politika/dipl.</t>
  </si>
  <si>
    <t>pénzü./birtoki.</t>
  </si>
  <si>
    <t>Ellana_papnő</t>
  </si>
  <si>
    <t>2 fegy.hasz(tőrkard,tőr)</t>
  </si>
  <si>
    <t>kultúra</t>
  </si>
  <si>
    <t>méregkev./seml.</t>
  </si>
  <si>
    <t>tánc (udvari)</t>
  </si>
  <si>
    <t>Galradzsa_pap</t>
  </si>
  <si>
    <t>lovaglás (tevén is)</t>
  </si>
  <si>
    <t>helyism.(közöttük)</t>
  </si>
  <si>
    <t>helyism. (90% osztható)</t>
  </si>
  <si>
    <t>kultúra (szomszédos)</t>
  </si>
  <si>
    <t>Gilron_pap_Mérnök</t>
  </si>
  <si>
    <t>mechanika</t>
  </si>
  <si>
    <t>mértan</t>
  </si>
  <si>
    <t>szakma(óraműves)</t>
  </si>
  <si>
    <t>szakma(kovács)</t>
  </si>
  <si>
    <t>Gilron_pap_Segéd</t>
  </si>
  <si>
    <t>kocsihajtás</t>
  </si>
  <si>
    <t>Krad_pap</t>
  </si>
  <si>
    <t>Kyel_pap</t>
  </si>
  <si>
    <t>fegy.hasz(buzogány)</t>
  </si>
  <si>
    <t>nehézvért viselet</t>
  </si>
  <si>
    <t>antissjárás</t>
  </si>
  <si>
    <t>Noir_pap_Befogadott</t>
  </si>
  <si>
    <t>Noir_pap_Bálványtagadó</t>
  </si>
  <si>
    <t>méregkeverés/seml.</t>
  </si>
  <si>
    <t>méregkeverés</t>
  </si>
  <si>
    <t>Orwella_Papnő_ANH</t>
  </si>
  <si>
    <t>Orwella_Papnő_PE</t>
  </si>
  <si>
    <t>Ranil_pap</t>
  </si>
  <si>
    <t>birtokigazgatás</t>
  </si>
  <si>
    <t>etikett (dwoon)</t>
  </si>
  <si>
    <t>Morgena_pap_Angyal</t>
  </si>
  <si>
    <t>Morgena_pap_Farkas</t>
  </si>
  <si>
    <t>fegy.hasz.(tőr)</t>
  </si>
  <si>
    <t>Ranagol_pap</t>
  </si>
  <si>
    <t>Válaszd ki még a 6 db</t>
  </si>
  <si>
    <t>képzettségedet!</t>
  </si>
  <si>
    <t>Sámán_pap_Leutaril</t>
  </si>
  <si>
    <t>Sámán_pap_Ramkir</t>
  </si>
  <si>
    <t>Sámán_pap_Tomatis</t>
  </si>
  <si>
    <t>2 fegyver használata</t>
  </si>
  <si>
    <t>legendaism.(saját)</t>
  </si>
  <si>
    <t>vallásism.(saját)</t>
  </si>
  <si>
    <t>nyomolv./eltüntetés</t>
  </si>
  <si>
    <t>hegyjárás</t>
  </si>
  <si>
    <t>Sogron_pap_Lángvihar</t>
  </si>
  <si>
    <t>Sogron_pap_Őst.Urai</t>
  </si>
  <si>
    <t>Nyelvtudások</t>
  </si>
  <si>
    <t>Ősi nyelv ismerete</t>
  </si>
  <si>
    <t>Nyelvek</t>
  </si>
  <si>
    <t>Ősi nyelvek</t>
  </si>
  <si>
    <t>yllinori</t>
  </si>
  <si>
    <t>Északi nyelvek</t>
  </si>
  <si>
    <t>Déli nyelvek</t>
  </si>
  <si>
    <t>Fajok nyelvei</t>
  </si>
  <si>
    <t>(ó)kyr</t>
  </si>
  <si>
    <t>Dreina_pap_Pol</t>
  </si>
  <si>
    <t>Dreina_pap_Gazd</t>
  </si>
  <si>
    <t>Dreina_pap_Jog</t>
  </si>
  <si>
    <t>politika/diplomácia</t>
  </si>
  <si>
    <t>herladika</t>
  </si>
  <si>
    <t>pénzügy/birtokig.</t>
  </si>
  <si>
    <t>Kyr</t>
  </si>
  <si>
    <t>erv</t>
  </si>
  <si>
    <t>toroni</t>
  </si>
  <si>
    <t>közös</t>
  </si>
  <si>
    <t>aszisz</t>
  </si>
  <si>
    <t>dwoon</t>
  </si>
  <si>
    <t>enoszukei</t>
  </si>
  <si>
    <t>ilanori</t>
  </si>
  <si>
    <t>korg</t>
  </si>
  <si>
    <t>niarei</t>
  </si>
  <si>
    <t>dzsad</t>
  </si>
  <si>
    <t>gorviki</t>
  </si>
  <si>
    <t>hyunghaj</t>
  </si>
  <si>
    <t>kráni</t>
  </si>
  <si>
    <t>pyarroni</t>
  </si>
  <si>
    <t>shadoni</t>
  </si>
  <si>
    <t>elf</t>
  </si>
  <si>
    <t>gnóm</t>
  </si>
  <si>
    <t>goblin</t>
  </si>
  <si>
    <t>khál</t>
  </si>
  <si>
    <t>ork</t>
  </si>
  <si>
    <t>törpe (vanír)</t>
  </si>
  <si>
    <t>amund</t>
  </si>
  <si>
    <t>aquir</t>
  </si>
  <si>
    <t>crantai</t>
  </si>
  <si>
    <t>démon</t>
  </si>
  <si>
    <t>dzsenn</t>
  </si>
  <si>
    <t>godoni</t>
  </si>
  <si>
    <t>híl (ó-törpe)</t>
  </si>
  <si>
    <t>ó-dwoon</t>
  </si>
  <si>
    <t>ó-elf</t>
  </si>
  <si>
    <t>kyr-toroni</t>
  </si>
  <si>
    <t>Tharr_pap_Khótorr</t>
  </si>
  <si>
    <t>helyismeret (toroni)</t>
  </si>
  <si>
    <t>Tharr_pap_Quessor</t>
  </si>
  <si>
    <t>Tharr_pap_Sanquinator</t>
  </si>
  <si>
    <t>fegy.hasz.(áldozótőr)</t>
  </si>
  <si>
    <t>4 fegyverhasználat</t>
  </si>
  <si>
    <t>fegyverhasználat</t>
  </si>
  <si>
    <t>5 fegyverhasználat</t>
  </si>
  <si>
    <t>1 fegyverdobás</t>
  </si>
  <si>
    <t>9 fegyverhasználat</t>
  </si>
  <si>
    <t>3 fegyverdobás</t>
  </si>
  <si>
    <t>5 fegyverhasználata</t>
  </si>
  <si>
    <t>Kadal_pap</t>
  </si>
  <si>
    <t>vallásismeret(saját)</t>
  </si>
  <si>
    <t>történelemism.(törpe)</t>
  </si>
  <si>
    <t>történelemism.(ember)</t>
  </si>
  <si>
    <t>legendaism.(törpe)</t>
  </si>
  <si>
    <t>Tooma_pap</t>
  </si>
  <si>
    <t>vallásismeret (törpe)</t>
  </si>
  <si>
    <t>Darton_paplovag</t>
  </si>
  <si>
    <t>vallásismeret (dzsad)</t>
  </si>
  <si>
    <t>kétkezes harc(jatagán)</t>
  </si>
  <si>
    <t>fegy.hasz.(jatagán)</t>
  </si>
  <si>
    <t>Domvik_bosz.vadász</t>
  </si>
  <si>
    <t>fegy.hasz.(mendra)</t>
  </si>
  <si>
    <t>fegy.hasz.(kínzókés)</t>
  </si>
  <si>
    <t>kultúra(shadoni)</t>
  </si>
  <si>
    <t>nomád</t>
  </si>
  <si>
    <t>vallásism.(Domvik)</t>
  </si>
  <si>
    <t>történelem</t>
  </si>
  <si>
    <t>lingua domini</t>
  </si>
  <si>
    <t>mágiaism.(boszorkány)</t>
  </si>
  <si>
    <t>Domvik_paplovag</t>
  </si>
  <si>
    <t>Dreina_paplovag</t>
  </si>
  <si>
    <t>Krad_paplovag</t>
  </si>
  <si>
    <t>pusztítás</t>
  </si>
  <si>
    <t>Orwella_paplovag</t>
  </si>
  <si>
    <t>Ranagol_paplovag</t>
  </si>
  <si>
    <t>kínzás</t>
  </si>
  <si>
    <t>Válaszd ki még a 2 db</t>
  </si>
  <si>
    <t>Ranil_paplovag</t>
  </si>
  <si>
    <t>legendaism.(dwoon)</t>
  </si>
  <si>
    <t>Uwel_paplovag</t>
  </si>
  <si>
    <t>10 fegyverhasználat</t>
  </si>
  <si>
    <t>4 fegyverdobás</t>
  </si>
  <si>
    <t>fegyvertörés (kézzel)</t>
  </si>
  <si>
    <t>pszi (Slan)</t>
  </si>
  <si>
    <t>fegyvertörés (Slan kard)</t>
  </si>
  <si>
    <t>fegy.hasz.(Slan kard)</t>
  </si>
  <si>
    <t>Pusztító_Tűz_Útja</t>
  </si>
  <si>
    <t>Fény_Ösvénye</t>
  </si>
  <si>
    <t>Sorgon_Útja</t>
  </si>
  <si>
    <t>vallásism.(Sogron)</t>
  </si>
  <si>
    <t>emberismeret</t>
  </si>
  <si>
    <t>fegy.hasz.(lángkard)</t>
  </si>
  <si>
    <t>Tűz_Tápláló</t>
  </si>
  <si>
    <t>fegy.hasz.(lángtőr)</t>
  </si>
  <si>
    <t>pszi (kyr)</t>
  </si>
  <si>
    <t>rúnamágia</t>
  </si>
  <si>
    <t>Nomád_sámán</t>
  </si>
  <si>
    <t>erdőjárás(sztyeppe is)</t>
  </si>
  <si>
    <t>jóslás</t>
  </si>
  <si>
    <t>Szerzetes_Pyarronita</t>
  </si>
  <si>
    <t>Szerzetes_Benignus</t>
  </si>
  <si>
    <t>méregsemlegesítés</t>
  </si>
  <si>
    <t>demonológia</t>
  </si>
  <si>
    <t>A részletes listáért köszönet Magyar Gergelynek!</t>
  </si>
  <si>
    <t>Szál fegyverek</t>
  </si>
  <si>
    <t>Zúzó fegyverek</t>
  </si>
  <si>
    <t>Dobó fegyverek</t>
  </si>
  <si>
    <t>Szúró-vágó   fegyverek</t>
  </si>
  <si>
    <t>Különleges fegyverek</t>
  </si>
  <si>
    <t>Célzó fegyverek</t>
  </si>
  <si>
    <t>Pajzsok</t>
  </si>
  <si>
    <t>faji max meghat:</t>
  </si>
  <si>
    <t>min</t>
  </si>
  <si>
    <t>max</t>
  </si>
  <si>
    <t>kf</t>
  </si>
  <si>
    <t>Faji maximumok</t>
  </si>
  <si>
    <t>3k6(2X)</t>
  </si>
  <si>
    <t>faji min meghat:</t>
  </si>
  <si>
    <t>Elffok</t>
  </si>
  <si>
    <t>Félelffok</t>
  </si>
  <si>
    <t>Khálfok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</si>
</sst>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6" tint="0.7999816888943144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 applyBorder="1"/>
    <xf numFmtId="0" fontId="0" fillId="0" borderId="9" xfId="0" applyBorder="1"/>
    <xf numFmtId="0" fontId="1" fillId="0" borderId="7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4" borderId="0" xfId="0" applyFill="1"/>
    <xf numFmtId="0" fontId="0" fillId="0" borderId="0" xfId="0" applyFill="1"/>
    <xf numFmtId="0" fontId="0" fillId="2" borderId="1" xfId="0" applyFill="1" applyBorder="1" applyAlignment="1"/>
    <xf numFmtId="0" fontId="0" fillId="3" borderId="24" xfId="0" applyFill="1" applyBorder="1" applyAlignment="1"/>
    <xf numFmtId="0" fontId="0" fillId="3" borderId="25" xfId="0" applyFill="1" applyBorder="1"/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center"/>
    </xf>
    <xf numFmtId="0" fontId="3" fillId="2" borderId="24" xfId="0" applyFont="1" applyFill="1" applyBorder="1"/>
    <xf numFmtId="0" fontId="3" fillId="2" borderId="24" xfId="0" applyFont="1" applyFill="1" applyBorder="1" applyAlignment="1">
      <alignment vertical="center"/>
    </xf>
    <xf numFmtId="0" fontId="3" fillId="2" borderId="24" xfId="0" applyFont="1" applyFill="1" applyBorder="1" applyAlignment="1"/>
    <xf numFmtId="0" fontId="3" fillId="2" borderId="25" xfId="0" applyFont="1" applyFill="1" applyBorder="1" applyAlignment="1"/>
    <xf numFmtId="0" fontId="3" fillId="0" borderId="1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Fill="1" applyBorder="1"/>
    <xf numFmtId="0" fontId="0" fillId="0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57" xfId="0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54" xfId="0" applyBorder="1"/>
    <xf numFmtId="0" fontId="0" fillId="0" borderId="40" xfId="0" applyBorder="1"/>
    <xf numFmtId="0" fontId="0" fillId="0" borderId="60" xfId="0" applyBorder="1"/>
    <xf numFmtId="0" fontId="10" fillId="0" borderId="7" xfId="0" applyFont="1" applyBorder="1" applyAlignment="1"/>
    <xf numFmtId="0" fontId="0" fillId="0" borderId="5" xfId="0" applyBorder="1" applyAlignment="1"/>
    <xf numFmtId="0" fontId="0" fillId="0" borderId="8" xfId="0" applyBorder="1" applyAlignment="1"/>
    <xf numFmtId="0" fontId="1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2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12" fontId="13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left" vertical="center"/>
    </xf>
    <xf numFmtId="0" fontId="12" fillId="0" borderId="0" xfId="0" applyFont="1" applyAlignment="1">
      <alignment horizontal="left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12" fontId="0" fillId="0" borderId="0" xfId="0" applyNumberForma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10" fillId="0" borderId="0" xfId="0" applyFont="1"/>
    <xf numFmtId="0" fontId="3" fillId="0" borderId="28" xfId="0" applyNumberFormat="1" applyFont="1" applyBorder="1" applyAlignment="1">
      <alignment horizontal="center" vertical="center"/>
    </xf>
    <xf numFmtId="0" fontId="3" fillId="0" borderId="28" xfId="1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39" xfId="0" applyBorder="1"/>
    <xf numFmtId="0" fontId="0" fillId="0" borderId="5" xfId="0" applyBorder="1"/>
    <xf numFmtId="0" fontId="0" fillId="0" borderId="61" xfId="0" applyBorder="1"/>
    <xf numFmtId="0" fontId="1" fillId="0" borderId="44" xfId="0" applyFont="1" applyBorder="1"/>
    <xf numFmtId="0" fontId="10" fillId="0" borderId="43" xfId="0" applyFont="1" applyBorder="1"/>
    <xf numFmtId="0" fontId="0" fillId="0" borderId="58" xfId="0" applyBorder="1"/>
    <xf numFmtId="0" fontId="0" fillId="0" borderId="62" xfId="0" applyBorder="1"/>
    <xf numFmtId="0" fontId="1" fillId="0" borderId="29" xfId="0" applyFont="1" applyBorder="1"/>
    <xf numFmtId="0" fontId="10" fillId="0" borderId="10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10" xfId="0" applyBorder="1"/>
    <xf numFmtId="0" fontId="10" fillId="0" borderId="0" xfId="0" applyFont="1" applyBorder="1" applyAlignment="1">
      <alignment horizontal="center"/>
    </xf>
    <xf numFmtId="0" fontId="0" fillId="0" borderId="0" xfId="0" applyFill="1" applyBorder="1"/>
    <xf numFmtId="0" fontId="10" fillId="0" borderId="10" xfId="0" applyFont="1" applyBorder="1" applyAlignment="1">
      <alignment horizontal="center"/>
    </xf>
    <xf numFmtId="0" fontId="10" fillId="0" borderId="61" xfId="0" applyFont="1" applyBorder="1"/>
    <xf numFmtId="0" fontId="10" fillId="0" borderId="29" xfId="0" applyFont="1" applyBorder="1"/>
    <xf numFmtId="0" fontId="0" fillId="0" borderId="29" xfId="0" applyBorder="1"/>
    <xf numFmtId="0" fontId="0" fillId="0" borderId="43" xfId="0" applyBorder="1"/>
    <xf numFmtId="0" fontId="0" fillId="0" borderId="54" xfId="0" applyBorder="1"/>
    <xf numFmtId="0" fontId="0" fillId="0" borderId="40" xfId="0" applyBorder="1"/>
    <xf numFmtId="0" fontId="0" fillId="0" borderId="59" xfId="0" applyBorder="1"/>
    <xf numFmtId="0" fontId="0" fillId="0" borderId="60" xfId="0" applyBorder="1"/>
    <xf numFmtId="0" fontId="10" fillId="0" borderId="58" xfId="0" applyFont="1" applyBorder="1"/>
    <xf numFmtId="0" fontId="10" fillId="0" borderId="54" xfId="0" applyFont="1" applyBorder="1"/>
    <xf numFmtId="0" fontId="0" fillId="0" borderId="58" xfId="0" applyBorder="1"/>
    <xf numFmtId="0" fontId="10" fillId="0" borderId="4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0" fillId="0" borderId="63" xfId="0" applyBorder="1"/>
    <xf numFmtId="0" fontId="0" fillId="0" borderId="59" xfId="0" applyFill="1" applyBorder="1"/>
    <xf numFmtId="0" fontId="10" fillId="0" borderId="0" xfId="0" applyFont="1" applyBorder="1"/>
    <xf numFmtId="0" fontId="10" fillId="0" borderId="0" xfId="0" applyFont="1" applyAlignment="1"/>
    <xf numFmtId="0" fontId="5" fillId="3" borderId="5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2" fontId="5" fillId="3" borderId="2" xfId="0" applyNumberFormat="1" applyFont="1" applyFill="1" applyBorder="1" applyAlignment="1">
      <alignment horizontal="center"/>
    </xf>
    <xf numFmtId="12" fontId="5" fillId="3" borderId="4" xfId="0" applyNumberFormat="1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2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20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0" xfId="0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0" fillId="2" borderId="17" xfId="0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36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26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0" fillId="3" borderId="39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53" xfId="0" applyFill="1" applyBorder="1" applyAlignment="1">
      <alignment horizontal="left"/>
    </xf>
    <xf numFmtId="0" fontId="3" fillId="2" borderId="4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quotePrefix="1" applyFill="1" applyBorder="1" applyAlignment="1">
      <alignment horizontal="center"/>
    </xf>
    <xf numFmtId="0" fontId="0" fillId="2" borderId="15" xfId="0" quotePrefix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6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3B3B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3B3B"/>
        </patternFill>
      </fill>
    </dxf>
    <dxf>
      <fill>
        <patternFill>
          <bgColor rgb="FFFF3B3B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01" Type="http://schemas.openxmlformats.org/officeDocument/2006/relationships/worksheet" Target="worksheets/sheet101.xml"/><Relationship Id="rId102" Type="http://schemas.openxmlformats.org/officeDocument/2006/relationships/worksheet" Target="worksheets/sheet102.xml"/><Relationship Id="rId103" Type="http://schemas.openxmlformats.org/officeDocument/2006/relationships/worksheet" Target="worksheets/sheet103.xml"/><Relationship Id="rId104" Type="http://schemas.openxmlformats.org/officeDocument/2006/relationships/worksheet" Target="worksheets/sheet104.xml"/><Relationship Id="rId105" Type="http://schemas.openxmlformats.org/officeDocument/2006/relationships/worksheet" Target="worksheets/sheet105.xml"/><Relationship Id="rId106" Type="http://schemas.openxmlformats.org/officeDocument/2006/relationships/worksheet" Target="worksheets/sheet106.xml"/><Relationship Id="rId107" Type="http://schemas.openxmlformats.org/officeDocument/2006/relationships/worksheet" Target="worksheets/sheet107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8" Type="http://schemas.openxmlformats.org/officeDocument/2006/relationships/worksheet" Target="worksheets/sheet108.xml"/><Relationship Id="rId109" Type="http://schemas.openxmlformats.org/officeDocument/2006/relationships/worksheet" Target="worksheets/sheet10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worksheet" Target="worksheets/sheet58.xml"/><Relationship Id="rId59" Type="http://schemas.openxmlformats.org/officeDocument/2006/relationships/worksheet" Target="worksheets/sheet59.xml"/><Relationship Id="rId70" Type="http://schemas.openxmlformats.org/officeDocument/2006/relationships/worksheet" Target="worksheets/sheet70.xml"/><Relationship Id="rId71" Type="http://schemas.openxmlformats.org/officeDocument/2006/relationships/worksheet" Target="worksheets/sheet71.xml"/><Relationship Id="rId72" Type="http://schemas.openxmlformats.org/officeDocument/2006/relationships/worksheet" Target="worksheets/sheet72.xml"/><Relationship Id="rId73" Type="http://schemas.openxmlformats.org/officeDocument/2006/relationships/worksheet" Target="worksheets/sheet73.xml"/><Relationship Id="rId74" Type="http://schemas.openxmlformats.org/officeDocument/2006/relationships/worksheet" Target="worksheets/sheet74.xml"/><Relationship Id="rId75" Type="http://schemas.openxmlformats.org/officeDocument/2006/relationships/worksheet" Target="worksheets/sheet75.xml"/><Relationship Id="rId76" Type="http://schemas.openxmlformats.org/officeDocument/2006/relationships/worksheet" Target="worksheets/sheet76.xml"/><Relationship Id="rId77" Type="http://schemas.openxmlformats.org/officeDocument/2006/relationships/worksheet" Target="worksheets/sheet77.xml"/><Relationship Id="rId78" Type="http://schemas.openxmlformats.org/officeDocument/2006/relationships/worksheet" Target="worksheets/sheet78.xml"/><Relationship Id="rId79" Type="http://schemas.openxmlformats.org/officeDocument/2006/relationships/worksheet" Target="worksheets/sheet79.xml"/><Relationship Id="rId110" Type="http://schemas.openxmlformats.org/officeDocument/2006/relationships/worksheet" Target="worksheets/sheet110.xml"/><Relationship Id="rId90" Type="http://schemas.openxmlformats.org/officeDocument/2006/relationships/worksheet" Target="worksheets/sheet90.xml"/><Relationship Id="rId91" Type="http://schemas.openxmlformats.org/officeDocument/2006/relationships/worksheet" Target="worksheets/sheet91.xml"/><Relationship Id="rId92" Type="http://schemas.openxmlformats.org/officeDocument/2006/relationships/worksheet" Target="worksheets/sheet92.xml"/><Relationship Id="rId93" Type="http://schemas.openxmlformats.org/officeDocument/2006/relationships/worksheet" Target="worksheets/sheet93.xml"/><Relationship Id="rId94" Type="http://schemas.openxmlformats.org/officeDocument/2006/relationships/worksheet" Target="worksheets/sheet94.xml"/><Relationship Id="rId95" Type="http://schemas.openxmlformats.org/officeDocument/2006/relationships/worksheet" Target="worksheets/sheet95.xml"/><Relationship Id="rId96" Type="http://schemas.openxmlformats.org/officeDocument/2006/relationships/worksheet" Target="worksheets/sheet96.xml"/><Relationship Id="rId97" Type="http://schemas.openxmlformats.org/officeDocument/2006/relationships/worksheet" Target="worksheets/sheet97.xml"/><Relationship Id="rId98" Type="http://schemas.openxmlformats.org/officeDocument/2006/relationships/worksheet" Target="worksheets/sheet98.xml"/><Relationship Id="rId99" Type="http://schemas.openxmlformats.org/officeDocument/2006/relationships/worksheet" Target="worksheets/sheet99.xml"/><Relationship Id="rId111" Type="http://schemas.openxmlformats.org/officeDocument/2006/relationships/worksheet" Target="worksheets/sheet111.xml"/><Relationship Id="rId112" Type="http://schemas.openxmlformats.org/officeDocument/2006/relationships/worksheet" Target="worksheets/sheet112.xml"/><Relationship Id="rId113" Type="http://schemas.openxmlformats.org/officeDocument/2006/relationships/worksheet" Target="worksheets/sheet113.xml"/><Relationship Id="rId114" Type="http://schemas.openxmlformats.org/officeDocument/2006/relationships/theme" Target="theme/theme1.xml"/><Relationship Id="rId115" Type="http://schemas.openxmlformats.org/officeDocument/2006/relationships/styles" Target="styles.xml"/><Relationship Id="rId116" Type="http://schemas.openxmlformats.org/officeDocument/2006/relationships/sharedStrings" Target="sharedStrings.xml"/><Relationship Id="rId117" Type="http://schemas.openxmlformats.org/officeDocument/2006/relationships/calcChain" Target="calcChain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60" Type="http://schemas.openxmlformats.org/officeDocument/2006/relationships/worksheet" Target="worksheets/sheet60.xml"/><Relationship Id="rId61" Type="http://schemas.openxmlformats.org/officeDocument/2006/relationships/worksheet" Target="worksheets/sheet61.xml"/><Relationship Id="rId62" Type="http://schemas.openxmlformats.org/officeDocument/2006/relationships/worksheet" Target="worksheets/sheet62.xml"/><Relationship Id="rId63" Type="http://schemas.openxmlformats.org/officeDocument/2006/relationships/worksheet" Target="worksheets/sheet63.xml"/><Relationship Id="rId64" Type="http://schemas.openxmlformats.org/officeDocument/2006/relationships/worksheet" Target="worksheets/sheet64.xml"/><Relationship Id="rId65" Type="http://schemas.openxmlformats.org/officeDocument/2006/relationships/worksheet" Target="worksheets/sheet65.xml"/><Relationship Id="rId66" Type="http://schemas.openxmlformats.org/officeDocument/2006/relationships/worksheet" Target="worksheets/sheet66.xml"/><Relationship Id="rId67" Type="http://schemas.openxmlformats.org/officeDocument/2006/relationships/worksheet" Target="worksheets/sheet67.xml"/><Relationship Id="rId68" Type="http://schemas.openxmlformats.org/officeDocument/2006/relationships/worksheet" Target="worksheets/sheet68.xml"/><Relationship Id="rId69" Type="http://schemas.openxmlformats.org/officeDocument/2006/relationships/worksheet" Target="worksheets/sheet69.xml"/><Relationship Id="rId100" Type="http://schemas.openxmlformats.org/officeDocument/2006/relationships/worksheet" Target="worksheets/sheet100.xml"/><Relationship Id="rId80" Type="http://schemas.openxmlformats.org/officeDocument/2006/relationships/worksheet" Target="worksheets/sheet80.xml"/><Relationship Id="rId81" Type="http://schemas.openxmlformats.org/officeDocument/2006/relationships/worksheet" Target="worksheets/sheet81.xml"/><Relationship Id="rId82" Type="http://schemas.openxmlformats.org/officeDocument/2006/relationships/worksheet" Target="worksheets/sheet82.xml"/><Relationship Id="rId83" Type="http://schemas.openxmlformats.org/officeDocument/2006/relationships/worksheet" Target="worksheets/sheet83.xml"/><Relationship Id="rId84" Type="http://schemas.openxmlformats.org/officeDocument/2006/relationships/worksheet" Target="worksheets/sheet84.xml"/><Relationship Id="rId85" Type="http://schemas.openxmlformats.org/officeDocument/2006/relationships/worksheet" Target="worksheets/sheet85.xml"/><Relationship Id="rId86" Type="http://schemas.openxmlformats.org/officeDocument/2006/relationships/worksheet" Target="worksheets/sheet86.xml"/><Relationship Id="rId87" Type="http://schemas.openxmlformats.org/officeDocument/2006/relationships/worksheet" Target="worksheets/sheet87.xml"/><Relationship Id="rId88" Type="http://schemas.openxmlformats.org/officeDocument/2006/relationships/worksheet" Target="worksheets/sheet88.xml"/><Relationship Id="rId89" Type="http://schemas.openxmlformats.org/officeDocument/2006/relationships/worksheet" Target="worksheets/sheet89.xml"/></Relationships>
</file>

<file path=xl/ctrlProps/ctrlProp1.xml><?xml version="1.0" encoding="utf-8"?>
<formControlPr xmlns="http://schemas.microsoft.com/office/spreadsheetml/2009/9/main" objectType="CheckBox" fmlaLink="I20" lockText="1" noThreeD="1"/>
</file>

<file path=xl/ctrlProps/ctrlProp10.xml><?xml version="1.0" encoding="utf-8"?>
<formControlPr xmlns="http://schemas.microsoft.com/office/spreadsheetml/2009/9/main" objectType="CheckBox" fmlaLink="I29" lockText="1" noThreeD="1"/>
</file>

<file path=xl/ctrlProps/ctrlProp2.xml><?xml version="1.0" encoding="utf-8"?>
<formControlPr xmlns="http://schemas.microsoft.com/office/spreadsheetml/2009/9/main" objectType="CheckBox" fmlaLink="I21" lockText="1" noThreeD="1"/>
</file>

<file path=xl/ctrlProps/ctrlProp3.xml><?xml version="1.0" encoding="utf-8"?>
<formControlPr xmlns="http://schemas.microsoft.com/office/spreadsheetml/2009/9/main" objectType="CheckBox" fmlaLink="I22" lockText="1" noThreeD="1"/>
</file>

<file path=xl/ctrlProps/ctrlProp4.xml><?xml version="1.0" encoding="utf-8"?>
<formControlPr xmlns="http://schemas.microsoft.com/office/spreadsheetml/2009/9/main" objectType="CheckBox" fmlaLink="I23" lockText="1" noThreeD="1"/>
</file>

<file path=xl/ctrlProps/ctrlProp5.xml><?xml version="1.0" encoding="utf-8"?>
<formControlPr xmlns="http://schemas.microsoft.com/office/spreadsheetml/2009/9/main" objectType="CheckBox" fmlaLink="I24" lockText="1" noThreeD="1"/>
</file>

<file path=xl/ctrlProps/ctrlProp6.xml><?xml version="1.0" encoding="utf-8"?>
<formControlPr xmlns="http://schemas.microsoft.com/office/spreadsheetml/2009/9/main" objectType="CheckBox" fmlaLink="I25" lockText="1" noThreeD="1"/>
</file>

<file path=xl/ctrlProps/ctrlProp7.xml><?xml version="1.0" encoding="utf-8"?>
<formControlPr xmlns="http://schemas.microsoft.com/office/spreadsheetml/2009/9/main" objectType="CheckBox" fmlaLink="I26" lockText="1" noThreeD="1"/>
</file>

<file path=xl/ctrlProps/ctrlProp8.xml><?xml version="1.0" encoding="utf-8"?>
<formControlPr xmlns="http://schemas.microsoft.com/office/spreadsheetml/2009/9/main" objectType="CheckBox" fmlaLink="I27" lockText="1" noThreeD="1"/>
</file>

<file path=xl/ctrlProps/ctrlProp9.xml><?xml version="1.0" encoding="utf-8"?>
<formControlPr xmlns="http://schemas.microsoft.com/office/spreadsheetml/2009/9/main" objectType="CheckBox" fmlaLink="I2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19</xdr:row>
          <xdr:rowOff>0</xdr:rowOff>
        </xdr:from>
        <xdr:to>
          <xdr:col>10</xdr:col>
          <xdr:colOff>88900</xdr:colOff>
          <xdr:row>20</xdr:row>
          <xdr:rowOff>25400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20</xdr:row>
          <xdr:rowOff>0</xdr:rowOff>
        </xdr:from>
        <xdr:to>
          <xdr:col>10</xdr:col>
          <xdr:colOff>88900</xdr:colOff>
          <xdr:row>21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xmlns="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20</xdr:row>
          <xdr:rowOff>190500</xdr:rowOff>
        </xdr:from>
        <xdr:to>
          <xdr:col>10</xdr:col>
          <xdr:colOff>88900</xdr:colOff>
          <xdr:row>22</xdr:row>
          <xdr:rowOff>12700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xmlns="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22</xdr:row>
          <xdr:rowOff>0</xdr:rowOff>
        </xdr:from>
        <xdr:to>
          <xdr:col>10</xdr:col>
          <xdr:colOff>88900</xdr:colOff>
          <xdr:row>23</xdr:row>
          <xdr:rowOff>25400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xmlns="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23</xdr:row>
          <xdr:rowOff>0</xdr:rowOff>
        </xdr:from>
        <xdr:to>
          <xdr:col>10</xdr:col>
          <xdr:colOff>88900</xdr:colOff>
          <xdr:row>24</xdr:row>
          <xdr:rowOff>12700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xmlns="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24</xdr:row>
          <xdr:rowOff>0</xdr:rowOff>
        </xdr:from>
        <xdr:to>
          <xdr:col>10</xdr:col>
          <xdr:colOff>88900</xdr:colOff>
          <xdr:row>25</xdr:row>
          <xdr:rowOff>25400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25</xdr:row>
          <xdr:rowOff>0</xdr:rowOff>
        </xdr:from>
        <xdr:to>
          <xdr:col>10</xdr:col>
          <xdr:colOff>88900</xdr:colOff>
          <xdr:row>26</xdr:row>
          <xdr:rowOff>25400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26</xdr:row>
          <xdr:rowOff>0</xdr:rowOff>
        </xdr:from>
        <xdr:to>
          <xdr:col>10</xdr:col>
          <xdr:colOff>88900</xdr:colOff>
          <xdr:row>27</xdr:row>
          <xdr:rowOff>25400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27</xdr:row>
          <xdr:rowOff>0</xdr:rowOff>
        </xdr:from>
        <xdr:to>
          <xdr:col>10</xdr:col>
          <xdr:colOff>88900</xdr:colOff>
          <xdr:row>28</xdr:row>
          <xdr:rowOff>25400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28</xdr:row>
          <xdr:rowOff>0</xdr:rowOff>
        </xdr:from>
        <xdr:to>
          <xdr:col>10</xdr:col>
          <xdr:colOff>88900</xdr:colOff>
          <xdr:row>29</xdr:row>
          <xdr:rowOff>12700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xmlns="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8.xml"/><Relationship Id="rId12" Type="http://schemas.openxmlformats.org/officeDocument/2006/relationships/ctrlProp" Target="../ctrlProps/ctrlProp9.xml"/><Relationship Id="rId13" Type="http://schemas.openxmlformats.org/officeDocument/2006/relationships/ctrlProp" Target="../ctrlProps/ctrlProp10.xml"/><Relationship Id="rId1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Relationship Id="rId9" Type="http://schemas.openxmlformats.org/officeDocument/2006/relationships/ctrlProp" Target="../ctrlProps/ctrlProp6.xml"/><Relationship Id="rId10" Type="http://schemas.openxmlformats.org/officeDocument/2006/relationships/ctrlProp" Target="../ctrlProps/ctrlProp7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7.vml"/><Relationship Id="rId2" Type="http://schemas.openxmlformats.org/officeDocument/2006/relationships/comments" Target="../comments97.xml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8.vml"/><Relationship Id="rId2" Type="http://schemas.openxmlformats.org/officeDocument/2006/relationships/comments" Target="../comments98.xml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9.vml"/><Relationship Id="rId2" Type="http://schemas.openxmlformats.org/officeDocument/2006/relationships/comments" Target="../comments99.xml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0.vml"/><Relationship Id="rId2" Type="http://schemas.openxmlformats.org/officeDocument/2006/relationships/comments" Target="../comments100.xml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1.vml"/><Relationship Id="rId2" Type="http://schemas.openxmlformats.org/officeDocument/2006/relationships/comments" Target="../comments101.xml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2.vml"/><Relationship Id="rId2" Type="http://schemas.openxmlformats.org/officeDocument/2006/relationships/comments" Target="../comments102.xml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3.vml"/><Relationship Id="rId2" Type="http://schemas.openxmlformats.org/officeDocument/2006/relationships/comments" Target="../comments103.xml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4.vml"/><Relationship Id="rId2" Type="http://schemas.openxmlformats.org/officeDocument/2006/relationships/comments" Target="../comments104.xml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5.vml"/><Relationship Id="rId2" Type="http://schemas.openxmlformats.org/officeDocument/2006/relationships/comments" Target="../comments105.xml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6.vml"/><Relationship Id="rId2" Type="http://schemas.openxmlformats.org/officeDocument/2006/relationships/comments" Target="../comments10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7.vml"/><Relationship Id="rId2" Type="http://schemas.openxmlformats.org/officeDocument/2006/relationships/comments" Target="../comments107.xml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8.vml"/><Relationship Id="rId2" Type="http://schemas.openxmlformats.org/officeDocument/2006/relationships/comments" Target="../comments108.xml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9.vml"/><Relationship Id="rId2" Type="http://schemas.openxmlformats.org/officeDocument/2006/relationships/comments" Target="../comments109.xml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0.vml"/><Relationship Id="rId2" Type="http://schemas.openxmlformats.org/officeDocument/2006/relationships/comments" Target="../comments1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Relationship Id="rId2" Type="http://schemas.openxmlformats.org/officeDocument/2006/relationships/comments" Target="../comments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5.vml"/><Relationship Id="rId2" Type="http://schemas.openxmlformats.org/officeDocument/2006/relationships/comments" Target="../comments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6.vml"/><Relationship Id="rId2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7.vml"/><Relationship Id="rId2" Type="http://schemas.openxmlformats.org/officeDocument/2006/relationships/comments" Target="../comments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8.vml"/><Relationship Id="rId2" Type="http://schemas.openxmlformats.org/officeDocument/2006/relationships/comments" Target="../comments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9.vml"/><Relationship Id="rId2" Type="http://schemas.openxmlformats.org/officeDocument/2006/relationships/comments" Target="../comments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0.vml"/><Relationship Id="rId2" Type="http://schemas.openxmlformats.org/officeDocument/2006/relationships/comments" Target="../comments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1.vml"/><Relationship Id="rId2" Type="http://schemas.openxmlformats.org/officeDocument/2006/relationships/comments" Target="../comments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2.vml"/><Relationship Id="rId2" Type="http://schemas.openxmlformats.org/officeDocument/2006/relationships/comments" Target="../comments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3.vml"/><Relationship Id="rId2" Type="http://schemas.openxmlformats.org/officeDocument/2006/relationships/comments" Target="../comments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4.vml"/><Relationship Id="rId2" Type="http://schemas.openxmlformats.org/officeDocument/2006/relationships/comments" Target="../comments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5.vml"/><Relationship Id="rId2" Type="http://schemas.openxmlformats.org/officeDocument/2006/relationships/comments" Target="../comments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6.vml"/><Relationship Id="rId2" Type="http://schemas.openxmlformats.org/officeDocument/2006/relationships/comments" Target="../comments26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7.vml"/><Relationship Id="rId2" Type="http://schemas.openxmlformats.org/officeDocument/2006/relationships/comments" Target="../comments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8.vml"/><Relationship Id="rId2" Type="http://schemas.openxmlformats.org/officeDocument/2006/relationships/comments" Target="../comments2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9.vml"/><Relationship Id="rId2" Type="http://schemas.openxmlformats.org/officeDocument/2006/relationships/comments" Target="../comments29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0.vml"/><Relationship Id="rId2" Type="http://schemas.openxmlformats.org/officeDocument/2006/relationships/comments" Target="../comments3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1.vml"/><Relationship Id="rId2" Type="http://schemas.openxmlformats.org/officeDocument/2006/relationships/comments" Target="../comments31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2.vml"/><Relationship Id="rId2" Type="http://schemas.openxmlformats.org/officeDocument/2006/relationships/comments" Target="../comments3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3.vml"/><Relationship Id="rId2" Type="http://schemas.openxmlformats.org/officeDocument/2006/relationships/comments" Target="../comments33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4.vml"/><Relationship Id="rId2" Type="http://schemas.openxmlformats.org/officeDocument/2006/relationships/comments" Target="../comments34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5.vml"/><Relationship Id="rId2" Type="http://schemas.openxmlformats.org/officeDocument/2006/relationships/comments" Target="../comments35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6.vml"/><Relationship Id="rId2" Type="http://schemas.openxmlformats.org/officeDocument/2006/relationships/comments" Target="../comments36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7.vml"/><Relationship Id="rId2" Type="http://schemas.openxmlformats.org/officeDocument/2006/relationships/comments" Target="../comments37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8.vml"/><Relationship Id="rId2" Type="http://schemas.openxmlformats.org/officeDocument/2006/relationships/comments" Target="../comments38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9.vml"/><Relationship Id="rId2" Type="http://schemas.openxmlformats.org/officeDocument/2006/relationships/comments" Target="../comments39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0.vml"/><Relationship Id="rId2" Type="http://schemas.openxmlformats.org/officeDocument/2006/relationships/comments" Target="../comments40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1.vml"/><Relationship Id="rId2" Type="http://schemas.openxmlformats.org/officeDocument/2006/relationships/comments" Target="../comments41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2.vml"/><Relationship Id="rId2" Type="http://schemas.openxmlformats.org/officeDocument/2006/relationships/comments" Target="../comments42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3.vml"/><Relationship Id="rId2" Type="http://schemas.openxmlformats.org/officeDocument/2006/relationships/comments" Target="../comments43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4.vml"/><Relationship Id="rId2" Type="http://schemas.openxmlformats.org/officeDocument/2006/relationships/comments" Target="../comments44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5.vml"/><Relationship Id="rId2" Type="http://schemas.openxmlformats.org/officeDocument/2006/relationships/comments" Target="../comments45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6.vml"/><Relationship Id="rId2" Type="http://schemas.openxmlformats.org/officeDocument/2006/relationships/comments" Target="../comments4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7.vml"/><Relationship Id="rId2" Type="http://schemas.openxmlformats.org/officeDocument/2006/relationships/comments" Target="../comments47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8.vml"/><Relationship Id="rId2" Type="http://schemas.openxmlformats.org/officeDocument/2006/relationships/comments" Target="../comments48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9.vml"/><Relationship Id="rId2" Type="http://schemas.openxmlformats.org/officeDocument/2006/relationships/comments" Target="../comments49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0.vml"/><Relationship Id="rId2" Type="http://schemas.openxmlformats.org/officeDocument/2006/relationships/comments" Target="../comments50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1.vml"/><Relationship Id="rId2" Type="http://schemas.openxmlformats.org/officeDocument/2006/relationships/comments" Target="../comments51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2.vml"/><Relationship Id="rId2" Type="http://schemas.openxmlformats.org/officeDocument/2006/relationships/comments" Target="../comments52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3.vml"/><Relationship Id="rId2" Type="http://schemas.openxmlformats.org/officeDocument/2006/relationships/comments" Target="../comments53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4.vml"/><Relationship Id="rId2" Type="http://schemas.openxmlformats.org/officeDocument/2006/relationships/comments" Target="../comments54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5.vml"/><Relationship Id="rId2" Type="http://schemas.openxmlformats.org/officeDocument/2006/relationships/comments" Target="../comments55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6.vml"/><Relationship Id="rId2" Type="http://schemas.openxmlformats.org/officeDocument/2006/relationships/comments" Target="../comments5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7.vml"/><Relationship Id="rId2" Type="http://schemas.openxmlformats.org/officeDocument/2006/relationships/comments" Target="../comments57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8.vml"/><Relationship Id="rId2" Type="http://schemas.openxmlformats.org/officeDocument/2006/relationships/comments" Target="../comments58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9.vml"/><Relationship Id="rId2" Type="http://schemas.openxmlformats.org/officeDocument/2006/relationships/comments" Target="../comments59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0.vml"/><Relationship Id="rId2" Type="http://schemas.openxmlformats.org/officeDocument/2006/relationships/comments" Target="../comments60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1.vml"/><Relationship Id="rId2" Type="http://schemas.openxmlformats.org/officeDocument/2006/relationships/comments" Target="../comments61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2.vml"/><Relationship Id="rId2" Type="http://schemas.openxmlformats.org/officeDocument/2006/relationships/comments" Target="../comments62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3.vml"/><Relationship Id="rId2" Type="http://schemas.openxmlformats.org/officeDocument/2006/relationships/comments" Target="../comments63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4.vml"/><Relationship Id="rId2" Type="http://schemas.openxmlformats.org/officeDocument/2006/relationships/comments" Target="../comments64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5.vml"/><Relationship Id="rId2" Type="http://schemas.openxmlformats.org/officeDocument/2006/relationships/comments" Target="../comments65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6.vml"/><Relationship Id="rId2" Type="http://schemas.openxmlformats.org/officeDocument/2006/relationships/comments" Target="../comments6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7.vml"/><Relationship Id="rId2" Type="http://schemas.openxmlformats.org/officeDocument/2006/relationships/comments" Target="../comments67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8.vml"/><Relationship Id="rId2" Type="http://schemas.openxmlformats.org/officeDocument/2006/relationships/comments" Target="../comments68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9.vml"/><Relationship Id="rId2" Type="http://schemas.openxmlformats.org/officeDocument/2006/relationships/comments" Target="../comments69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0.vml"/><Relationship Id="rId2" Type="http://schemas.openxmlformats.org/officeDocument/2006/relationships/comments" Target="../comments70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1.vml"/><Relationship Id="rId2" Type="http://schemas.openxmlformats.org/officeDocument/2006/relationships/comments" Target="../comments71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2.vml"/><Relationship Id="rId2" Type="http://schemas.openxmlformats.org/officeDocument/2006/relationships/comments" Target="../comments72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3.vml"/><Relationship Id="rId2" Type="http://schemas.openxmlformats.org/officeDocument/2006/relationships/comments" Target="../comments73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4.vml"/><Relationship Id="rId2" Type="http://schemas.openxmlformats.org/officeDocument/2006/relationships/comments" Target="../comments74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5.vml"/><Relationship Id="rId2" Type="http://schemas.openxmlformats.org/officeDocument/2006/relationships/comments" Target="../comments75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6.vml"/><Relationship Id="rId2" Type="http://schemas.openxmlformats.org/officeDocument/2006/relationships/comments" Target="../comments7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7.vml"/><Relationship Id="rId2" Type="http://schemas.openxmlformats.org/officeDocument/2006/relationships/comments" Target="../comments77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8.vml"/><Relationship Id="rId2" Type="http://schemas.openxmlformats.org/officeDocument/2006/relationships/comments" Target="../comments78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9.vml"/><Relationship Id="rId2" Type="http://schemas.openxmlformats.org/officeDocument/2006/relationships/comments" Target="../comments79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0.vml"/><Relationship Id="rId2" Type="http://schemas.openxmlformats.org/officeDocument/2006/relationships/comments" Target="../comments80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1.vml"/><Relationship Id="rId2" Type="http://schemas.openxmlformats.org/officeDocument/2006/relationships/comments" Target="../comments81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2.vml"/><Relationship Id="rId2" Type="http://schemas.openxmlformats.org/officeDocument/2006/relationships/comments" Target="../comments82.xml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3.vml"/><Relationship Id="rId2" Type="http://schemas.openxmlformats.org/officeDocument/2006/relationships/comments" Target="../comments83.xml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4.vml"/><Relationship Id="rId2" Type="http://schemas.openxmlformats.org/officeDocument/2006/relationships/comments" Target="../comments84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5.vml"/><Relationship Id="rId2" Type="http://schemas.openxmlformats.org/officeDocument/2006/relationships/comments" Target="../comments85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6.vml"/><Relationship Id="rId2" Type="http://schemas.openxmlformats.org/officeDocument/2006/relationships/comments" Target="../comments8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7.vml"/><Relationship Id="rId2" Type="http://schemas.openxmlformats.org/officeDocument/2006/relationships/comments" Target="../comments87.xml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8.vml"/><Relationship Id="rId2" Type="http://schemas.openxmlformats.org/officeDocument/2006/relationships/comments" Target="../comments88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9.vml"/><Relationship Id="rId2" Type="http://schemas.openxmlformats.org/officeDocument/2006/relationships/comments" Target="../comments89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0.vml"/><Relationship Id="rId2" Type="http://schemas.openxmlformats.org/officeDocument/2006/relationships/comments" Target="../comments90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1.vml"/><Relationship Id="rId2" Type="http://schemas.openxmlformats.org/officeDocument/2006/relationships/comments" Target="../comments91.xml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2.vml"/><Relationship Id="rId2" Type="http://schemas.openxmlformats.org/officeDocument/2006/relationships/comments" Target="../comments92.xml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3.vml"/><Relationship Id="rId2" Type="http://schemas.openxmlformats.org/officeDocument/2006/relationships/comments" Target="../comments93.xml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4.vml"/><Relationship Id="rId2" Type="http://schemas.openxmlformats.org/officeDocument/2006/relationships/comments" Target="../comments94.xml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5.vml"/><Relationship Id="rId2" Type="http://schemas.openxmlformats.org/officeDocument/2006/relationships/comments" Target="../comments95.xml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6.vml"/><Relationship Id="rId2" Type="http://schemas.openxmlformats.org/officeDocument/2006/relationships/comments" Target="../comments9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 enableFormatConditionsCalculation="0"/>
  <dimension ref="A1:BU46"/>
  <sheetViews>
    <sheetView tabSelected="1" view="pageLayout" zoomScaleNormal="120" zoomScalePageLayoutView="120" workbookViewId="0">
      <selection activeCell="P3" sqref="P3:U3"/>
    </sheetView>
  </sheetViews>
  <sheetFormatPr baseColWidth="10" defaultColWidth="2.6640625" defaultRowHeight="15" x14ac:dyDescent="0.2"/>
  <cols>
    <col min="6" max="6" width="4" customWidth="1"/>
    <col min="7" max="7" width="2.6640625" customWidth="1"/>
    <col min="8" max="8" width="2.5" customWidth="1"/>
    <col min="9" max="9" width="1.83203125" customWidth="1"/>
    <col min="15" max="15" width="2.83203125" customWidth="1"/>
    <col min="16" max="16" width="2.83203125" bestFit="1" customWidth="1"/>
    <col min="17" max="17" width="3.33203125" customWidth="1"/>
    <col min="18" max="18" width="3" customWidth="1"/>
    <col min="20" max="20" width="3.1640625" customWidth="1"/>
    <col min="21" max="21" width="3.5" customWidth="1"/>
    <col min="22" max="22" width="2.5" customWidth="1"/>
    <col min="23" max="23" width="3" customWidth="1"/>
    <col min="24" max="24" width="2.83203125" bestFit="1" customWidth="1"/>
    <col min="26" max="26" width="3.33203125" bestFit="1" customWidth="1"/>
    <col min="33" max="33" width="3" customWidth="1"/>
    <col min="34" max="34" width="2.83203125" bestFit="1" customWidth="1"/>
    <col min="35" max="36" width="2.33203125" customWidth="1"/>
    <col min="39" max="39" width="2.6640625" customWidth="1"/>
    <col min="71" max="71" width="1.83203125" customWidth="1"/>
  </cols>
  <sheetData>
    <row r="1" spans="1:73" ht="16" thickBot="1" x14ac:dyDescent="0.25">
      <c r="A1" s="326" t="s">
        <v>0</v>
      </c>
      <c r="B1" s="327"/>
      <c r="C1" s="327"/>
      <c r="D1" s="327"/>
      <c r="E1" s="327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27" t="s">
        <v>67</v>
      </c>
      <c r="U1" s="327"/>
      <c r="V1" s="327"/>
      <c r="W1" s="327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7"/>
      <c r="AK1" s="148" t="s">
        <v>146</v>
      </c>
      <c r="AL1" s="149"/>
      <c r="AM1" s="149"/>
      <c r="AN1" s="149"/>
      <c r="AO1" s="149"/>
      <c r="AP1" s="149"/>
      <c r="AQ1" s="149"/>
      <c r="AR1" s="149"/>
      <c r="AS1" s="150"/>
      <c r="AT1" s="151" t="str">
        <f>Y3*10+(AH6*Adattábla!C18)-SUM(BM4:BN46)&amp;" (legfeljebb "&amp;Y3*10&amp;" ezüstöd lehet a kaland kezdetekor)"</f>
        <v>0 (legfeljebb 0 ezüstöd lehet a kaland kezdetekor)</v>
      </c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3"/>
    </row>
    <row r="2" spans="1:73" ht="16" thickBot="1" x14ac:dyDescent="0.25">
      <c r="A2" s="148"/>
      <c r="B2" s="149"/>
      <c r="C2" s="149"/>
      <c r="D2" s="149"/>
      <c r="E2" s="149"/>
      <c r="F2" s="150"/>
      <c r="G2" s="321" t="s">
        <v>121</v>
      </c>
      <c r="H2" s="322"/>
      <c r="I2" s="154" t="s">
        <v>12</v>
      </c>
      <c r="J2" s="155"/>
      <c r="K2" s="155"/>
      <c r="L2" s="155"/>
      <c r="M2" s="155"/>
      <c r="N2" s="155"/>
      <c r="O2" s="155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9"/>
      <c r="AA2" s="148" t="s">
        <v>20</v>
      </c>
      <c r="AB2" s="149"/>
      <c r="AC2" s="149"/>
      <c r="AD2" s="149"/>
      <c r="AE2" s="149"/>
      <c r="AF2" s="149"/>
      <c r="AG2" s="149"/>
      <c r="AH2" s="149"/>
      <c r="AI2" s="149"/>
      <c r="AJ2" s="222"/>
      <c r="AK2" s="141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5"/>
    </row>
    <row r="3" spans="1:73" x14ac:dyDescent="0.2">
      <c r="A3" s="288" t="s">
        <v>1</v>
      </c>
      <c r="B3" s="289"/>
      <c r="C3" s="289"/>
      <c r="D3" s="289"/>
      <c r="E3" s="289"/>
      <c r="F3" s="16" t="str">
        <f>IFERROR(VLOOKUP(P3,Adattábla!L:BK,43,FALSE),"")</f>
        <v/>
      </c>
      <c r="G3" s="281"/>
      <c r="H3" s="136"/>
      <c r="I3" s="302" t="s">
        <v>18</v>
      </c>
      <c r="J3" s="287"/>
      <c r="K3" s="287"/>
      <c r="L3" s="287"/>
      <c r="M3" s="287"/>
      <c r="N3" s="287"/>
      <c r="O3" s="287"/>
      <c r="P3" s="192"/>
      <c r="Q3" s="286"/>
      <c r="R3" s="286"/>
      <c r="S3" s="286"/>
      <c r="T3" s="286"/>
      <c r="U3" s="194"/>
      <c r="V3" s="287" t="s">
        <v>25</v>
      </c>
      <c r="W3" s="287"/>
      <c r="X3" s="287"/>
      <c r="Y3" s="286"/>
      <c r="Z3" s="193"/>
      <c r="AA3" s="288" t="s">
        <v>13</v>
      </c>
      <c r="AB3" s="289"/>
      <c r="AC3" s="289"/>
      <c r="AD3" s="289"/>
      <c r="AE3" s="289"/>
      <c r="AF3" s="289"/>
      <c r="AG3" s="289"/>
      <c r="AH3" s="282">
        <f>IF(V7="",0,VLOOKUP(V7,Adattábla!A24:B37,2,FALSE))</f>
        <v>0</v>
      </c>
      <c r="AI3" s="282"/>
      <c r="AJ3" s="283"/>
      <c r="AK3" s="154" t="s">
        <v>150</v>
      </c>
      <c r="AL3" s="155"/>
      <c r="AM3" s="155"/>
      <c r="AN3" s="155"/>
      <c r="AO3" s="155"/>
      <c r="AP3" s="155"/>
      <c r="AQ3" s="155"/>
      <c r="AR3" s="155"/>
      <c r="AS3" s="155"/>
      <c r="AT3" s="155"/>
      <c r="AU3" s="156"/>
      <c r="AV3" s="154" t="s">
        <v>149</v>
      </c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 t="s">
        <v>148</v>
      </c>
      <c r="BN3" s="155"/>
      <c r="BO3" s="155" t="s">
        <v>147</v>
      </c>
      <c r="BP3" s="155"/>
      <c r="BQ3" s="155"/>
      <c r="BR3" s="155"/>
      <c r="BS3" s="155"/>
      <c r="BT3" s="155"/>
      <c r="BU3" s="156"/>
    </row>
    <row r="4" spans="1:73" x14ac:dyDescent="0.2">
      <c r="A4" s="288" t="s">
        <v>2</v>
      </c>
      <c r="B4" s="289"/>
      <c r="C4" s="289"/>
      <c r="D4" s="289"/>
      <c r="E4" s="289"/>
      <c r="F4" s="16" t="str">
        <f>IFERROR(VLOOKUP(P3,Adattábla!L:BK,44,FALSE),"")</f>
        <v/>
      </c>
      <c r="G4" s="281"/>
      <c r="H4" s="136"/>
      <c r="I4" s="302" t="s">
        <v>19</v>
      </c>
      <c r="J4" s="287"/>
      <c r="K4" s="287"/>
      <c r="L4" s="287"/>
      <c r="M4" s="287"/>
      <c r="N4" s="287"/>
      <c r="O4" s="287"/>
      <c r="P4" s="260"/>
      <c r="Q4" s="261"/>
      <c r="R4" s="261"/>
      <c r="S4" s="261"/>
      <c r="T4" s="261"/>
      <c r="U4" s="262"/>
      <c r="V4" s="287" t="s">
        <v>25</v>
      </c>
      <c r="W4" s="287"/>
      <c r="X4" s="287"/>
      <c r="Y4" s="261"/>
      <c r="Z4" s="263"/>
      <c r="AA4" s="288" t="s">
        <v>173</v>
      </c>
      <c r="AB4" s="289"/>
      <c r="AC4" s="289"/>
      <c r="AD4" s="289"/>
      <c r="AE4" s="289"/>
      <c r="AF4" s="289"/>
      <c r="AG4" s="289"/>
      <c r="AH4" s="282">
        <f>IFERROR(IF(G13="",0,VLOOKUP(P3,Adattábla!L:BL,53,FALSE)*Adattábla!J17+VLOOKUP(P3,Adattábla!L:BM,54,FALSE)*Adattábla!J18),0)</f>
        <v>0</v>
      </c>
      <c r="AI4" s="282"/>
      <c r="AJ4" s="283"/>
      <c r="AK4" s="127"/>
      <c r="AL4" s="128"/>
      <c r="AM4" s="128"/>
      <c r="AN4" s="128"/>
      <c r="AO4" s="128"/>
      <c r="AP4" s="128"/>
      <c r="AQ4" s="128"/>
      <c r="AR4" s="128"/>
      <c r="AS4" s="128"/>
      <c r="AT4" s="128"/>
      <c r="AU4" s="129"/>
      <c r="AV4" s="140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9"/>
      <c r="BM4" s="136"/>
      <c r="BN4" s="139"/>
      <c r="BO4" s="136"/>
      <c r="BP4" s="137"/>
      <c r="BQ4" s="137"/>
      <c r="BR4" s="137"/>
      <c r="BS4" s="137"/>
      <c r="BT4" s="137"/>
      <c r="BU4" s="138"/>
    </row>
    <row r="5" spans="1:73" x14ac:dyDescent="0.2">
      <c r="A5" s="288" t="s">
        <v>3</v>
      </c>
      <c r="B5" s="289"/>
      <c r="C5" s="289"/>
      <c r="D5" s="289"/>
      <c r="E5" s="289"/>
      <c r="F5" s="16" t="str">
        <f>IFERROR(VLOOKUP(P3,Adattábla!L:BK,45,FALSE),"")</f>
        <v/>
      </c>
      <c r="G5" s="281" t="str">
        <f>IF(S14="Nincs",F5-Z13,"")</f>
        <v/>
      </c>
      <c r="H5" s="136"/>
      <c r="I5" s="302" t="s">
        <v>26</v>
      </c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 t="s">
        <v>21</v>
      </c>
      <c r="V5" s="287"/>
      <c r="W5" s="287"/>
      <c r="X5" s="184"/>
      <c r="Y5" s="184"/>
      <c r="Z5" s="185"/>
      <c r="AA5" s="288"/>
      <c r="AB5" s="289"/>
      <c r="AC5" s="289"/>
      <c r="AD5" s="289"/>
      <c r="AE5" s="289"/>
      <c r="AF5" s="289"/>
      <c r="AG5" s="289"/>
      <c r="AH5" s="282"/>
      <c r="AI5" s="282"/>
      <c r="AJ5" s="283"/>
      <c r="AK5" s="130"/>
      <c r="AL5" s="131"/>
      <c r="AM5" s="131"/>
      <c r="AN5" s="131"/>
      <c r="AO5" s="131"/>
      <c r="AP5" s="131"/>
      <c r="AQ5" s="131"/>
      <c r="AR5" s="131"/>
      <c r="AS5" s="131"/>
      <c r="AT5" s="131"/>
      <c r="AU5" s="132"/>
      <c r="AV5" s="140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9"/>
      <c r="BM5" s="136"/>
      <c r="BN5" s="139"/>
      <c r="BO5" s="136"/>
      <c r="BP5" s="137"/>
      <c r="BQ5" s="137"/>
      <c r="BR5" s="137"/>
      <c r="BS5" s="137"/>
      <c r="BT5" s="137"/>
      <c r="BU5" s="138"/>
    </row>
    <row r="6" spans="1:73" x14ac:dyDescent="0.2">
      <c r="A6" s="288" t="s">
        <v>4</v>
      </c>
      <c r="B6" s="289"/>
      <c r="C6" s="289"/>
      <c r="D6" s="289"/>
      <c r="E6" s="289"/>
      <c r="F6" s="16" t="str">
        <f>IFERROR(VLOOKUP(P3,Adattábla!L:BK,46,FALSE),"")</f>
        <v/>
      </c>
      <c r="G6" s="281" t="str">
        <f>IF(S14="Nincs",F6-Z13,"")</f>
        <v/>
      </c>
      <c r="H6" s="136"/>
      <c r="I6" s="302" t="s">
        <v>66</v>
      </c>
      <c r="J6" s="287"/>
      <c r="K6" s="287"/>
      <c r="L6" s="287"/>
      <c r="M6" s="287"/>
      <c r="N6" s="287"/>
      <c r="O6" s="287"/>
      <c r="P6" s="260"/>
      <c r="Q6" s="261"/>
      <c r="R6" s="261"/>
      <c r="S6" s="261"/>
      <c r="T6" s="262"/>
      <c r="U6" s="287" t="s">
        <v>28</v>
      </c>
      <c r="V6" s="287"/>
      <c r="W6" s="287"/>
      <c r="X6" s="184"/>
      <c r="Y6" s="184"/>
      <c r="Z6" s="185"/>
      <c r="AA6" s="288" t="s">
        <v>178</v>
      </c>
      <c r="AB6" s="289"/>
      <c r="AC6" s="289"/>
      <c r="AD6" s="289"/>
      <c r="AE6" s="289"/>
      <c r="AF6" s="289"/>
      <c r="AG6" s="289"/>
      <c r="AH6" s="284"/>
      <c r="AI6" s="284"/>
      <c r="AJ6" s="285"/>
      <c r="AK6" s="130"/>
      <c r="AL6" s="131"/>
      <c r="AM6" s="131"/>
      <c r="AN6" s="131"/>
      <c r="AO6" s="131"/>
      <c r="AP6" s="131"/>
      <c r="AQ6" s="131"/>
      <c r="AR6" s="131"/>
      <c r="AS6" s="131"/>
      <c r="AT6" s="131"/>
      <c r="AU6" s="132"/>
      <c r="AV6" s="140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9"/>
      <c r="BM6" s="136"/>
      <c r="BN6" s="139"/>
      <c r="BO6" s="136"/>
      <c r="BP6" s="137"/>
      <c r="BQ6" s="137"/>
      <c r="BR6" s="137"/>
      <c r="BS6" s="137"/>
      <c r="BT6" s="137"/>
      <c r="BU6" s="138"/>
    </row>
    <row r="7" spans="1:73" x14ac:dyDescent="0.2">
      <c r="A7" s="288" t="s">
        <v>5</v>
      </c>
      <c r="B7" s="289"/>
      <c r="C7" s="289"/>
      <c r="D7" s="289"/>
      <c r="E7" s="289"/>
      <c r="F7" s="46" t="str">
        <f>IFERROR(VLOOKUP(P3,Adattábla!L:BK,47,FALSE),"")</f>
        <v/>
      </c>
      <c r="G7" s="281"/>
      <c r="H7" s="136"/>
      <c r="I7" s="302" t="s">
        <v>14</v>
      </c>
      <c r="J7" s="287"/>
      <c r="K7" s="287"/>
      <c r="L7" s="287"/>
      <c r="M7" s="287"/>
      <c r="N7" s="287"/>
      <c r="O7" s="287"/>
      <c r="P7" s="192"/>
      <c r="Q7" s="286"/>
      <c r="R7" s="286"/>
      <c r="S7" s="286"/>
      <c r="T7" s="286"/>
      <c r="U7" s="10" t="s">
        <v>13</v>
      </c>
      <c r="V7" s="184"/>
      <c r="W7" s="184"/>
      <c r="X7" s="184"/>
      <c r="Y7" s="184"/>
      <c r="Z7" s="185"/>
      <c r="AA7" s="288" t="s">
        <v>22</v>
      </c>
      <c r="AB7" s="289"/>
      <c r="AC7" s="289"/>
      <c r="AD7" s="289"/>
      <c r="AE7" s="289"/>
      <c r="AF7" s="289"/>
      <c r="AG7" s="289"/>
      <c r="AH7" s="282" t="str">
        <f>IFERROR(IF(P5="Iker kaszt",IF(P6&gt;12,VLOOKUP(P3,Adattábla!L:BA,42,FALSE),VLOOKUP(P3,Adattábla!L:Y,P6+1,FALSE))+((VLOOKUP(P3,Adattábla!L:Y,IF(Y3&gt;13,14,Y3+1),FALSE)-IF(P6&gt;12,VLOOKUP(P3,Adattábla!L:BA,42,FALSE),VLOOKUP(P3,Adattábla!L:Y,P6+1,FALSE)))*2),IF(P5="Váltott kaszt",VLOOKUP(P3,Adattábla!L:Y,IF(Y3&gt;10,14,Y3+4),FALSE),VLOOKUP(P3,Adattábla!L:Y,IF(Y3&gt;13,14,Y3+1),FALSE))),"Váltás?")</f>
        <v>Váltás?</v>
      </c>
      <c r="AI7" s="282"/>
      <c r="AJ7" s="283"/>
      <c r="AK7" s="130"/>
      <c r="AL7" s="131"/>
      <c r="AM7" s="131"/>
      <c r="AN7" s="131"/>
      <c r="AO7" s="131"/>
      <c r="AP7" s="131"/>
      <c r="AQ7" s="131"/>
      <c r="AR7" s="131"/>
      <c r="AS7" s="131"/>
      <c r="AT7" s="131"/>
      <c r="AU7" s="132"/>
      <c r="AV7" s="140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9"/>
      <c r="BM7" s="136"/>
      <c r="BN7" s="139"/>
      <c r="BO7" s="136"/>
      <c r="BP7" s="137"/>
      <c r="BQ7" s="137"/>
      <c r="BR7" s="137"/>
      <c r="BS7" s="137"/>
      <c r="BT7" s="137"/>
      <c r="BU7" s="138"/>
    </row>
    <row r="8" spans="1:73" x14ac:dyDescent="0.2">
      <c r="A8" s="288" t="s">
        <v>6</v>
      </c>
      <c r="B8" s="289"/>
      <c r="C8" s="289"/>
      <c r="D8" s="289"/>
      <c r="E8" s="289"/>
      <c r="F8" s="16" t="str">
        <f>IFERROR(VLOOKUP(P3,Adattábla!L:BK,48,FALSE),"")</f>
        <v/>
      </c>
      <c r="G8" s="281"/>
      <c r="H8" s="136"/>
      <c r="I8" s="302" t="s">
        <v>15</v>
      </c>
      <c r="J8" s="287"/>
      <c r="K8" s="287"/>
      <c r="L8" s="287"/>
      <c r="M8" s="287"/>
      <c r="N8" s="287"/>
      <c r="O8" s="287"/>
      <c r="P8" s="192"/>
      <c r="Q8" s="286"/>
      <c r="R8" s="286"/>
      <c r="S8" s="286"/>
      <c r="T8" s="286"/>
      <c r="U8" s="286"/>
      <c r="V8" s="286"/>
      <c r="W8" s="286"/>
      <c r="X8" s="286"/>
      <c r="Y8" s="286"/>
      <c r="Z8" s="193"/>
      <c r="AA8" s="288" t="s">
        <v>23</v>
      </c>
      <c r="AB8" s="289"/>
      <c r="AC8" s="289"/>
      <c r="AD8" s="289"/>
      <c r="AE8" s="289"/>
      <c r="AF8" s="289"/>
      <c r="AG8" s="289"/>
      <c r="AH8" s="282">
        <f>IFERROR(IF(P5="Iker kaszt",VLOOKUP(P4,Adattábla!L:X,Y4+1,FALSE)*2,VLOOKUP(P4,Adattábla!L:X,Y4+1,FALSE)),0)</f>
        <v>0</v>
      </c>
      <c r="AI8" s="282"/>
      <c r="AJ8" s="283"/>
      <c r="AK8" s="130"/>
      <c r="AL8" s="131"/>
      <c r="AM8" s="131"/>
      <c r="AN8" s="131"/>
      <c r="AO8" s="131"/>
      <c r="AP8" s="131"/>
      <c r="AQ8" s="131"/>
      <c r="AR8" s="131"/>
      <c r="AS8" s="131"/>
      <c r="AT8" s="131"/>
      <c r="AU8" s="132"/>
      <c r="AV8" s="140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9"/>
      <c r="BM8" s="136"/>
      <c r="BN8" s="139"/>
      <c r="BO8" s="136"/>
      <c r="BP8" s="137"/>
      <c r="BQ8" s="137"/>
      <c r="BR8" s="137"/>
      <c r="BS8" s="137"/>
      <c r="BT8" s="137"/>
      <c r="BU8" s="138"/>
    </row>
    <row r="9" spans="1:73" x14ac:dyDescent="0.2">
      <c r="A9" s="288" t="s">
        <v>7</v>
      </c>
      <c r="B9" s="289"/>
      <c r="C9" s="289"/>
      <c r="D9" s="289"/>
      <c r="E9" s="289"/>
      <c r="F9" s="16" t="str">
        <f>IFERROR(VLOOKUP(P3,Adattábla!L:BK,49,FALSE),"")</f>
        <v/>
      </c>
      <c r="G9" s="281"/>
      <c r="H9" s="136"/>
      <c r="I9" s="302" t="s">
        <v>16</v>
      </c>
      <c r="J9" s="287"/>
      <c r="K9" s="287"/>
      <c r="L9" s="287"/>
      <c r="M9" s="287"/>
      <c r="N9" s="287"/>
      <c r="O9" s="287"/>
      <c r="P9" s="192"/>
      <c r="Q9" s="286"/>
      <c r="R9" s="286"/>
      <c r="S9" s="286"/>
      <c r="T9" s="286"/>
      <c r="U9" s="286"/>
      <c r="V9" s="286"/>
      <c r="W9" s="286"/>
      <c r="X9" s="286"/>
      <c r="Y9" s="286"/>
      <c r="Z9" s="193"/>
      <c r="AA9" s="308" t="s">
        <v>69</v>
      </c>
      <c r="AB9" s="253"/>
      <c r="AC9" s="253"/>
      <c r="AD9" s="253"/>
      <c r="AE9" s="253"/>
      <c r="AF9" s="253"/>
      <c r="AG9" s="254"/>
      <c r="AH9" s="284"/>
      <c r="AI9" s="284"/>
      <c r="AJ9" s="285"/>
      <c r="AK9" s="130"/>
      <c r="AL9" s="131"/>
      <c r="AM9" s="131"/>
      <c r="AN9" s="131"/>
      <c r="AO9" s="131"/>
      <c r="AP9" s="131"/>
      <c r="AQ9" s="131"/>
      <c r="AR9" s="131"/>
      <c r="AS9" s="131"/>
      <c r="AT9" s="131"/>
      <c r="AU9" s="132"/>
      <c r="AV9" s="140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9"/>
      <c r="BM9" s="136"/>
      <c r="BN9" s="139"/>
      <c r="BO9" s="136"/>
      <c r="BP9" s="137"/>
      <c r="BQ9" s="137"/>
      <c r="BR9" s="137"/>
      <c r="BS9" s="137"/>
      <c r="BT9" s="137"/>
      <c r="BU9" s="138"/>
    </row>
    <row r="10" spans="1:73" ht="16" thickBot="1" x14ac:dyDescent="0.25">
      <c r="A10" s="288" t="s">
        <v>8</v>
      </c>
      <c r="B10" s="289"/>
      <c r="C10" s="289"/>
      <c r="D10" s="289"/>
      <c r="E10" s="289"/>
      <c r="F10" s="16" t="str">
        <f>IFERROR(VLOOKUP(P3,Adattábla!L:BK,50,FALSE),"")</f>
        <v/>
      </c>
      <c r="G10" s="281"/>
      <c r="H10" s="136"/>
      <c r="I10" s="302" t="s">
        <v>17</v>
      </c>
      <c r="J10" s="287"/>
      <c r="K10" s="287"/>
      <c r="L10" s="287"/>
      <c r="M10" s="287"/>
      <c r="N10" s="287"/>
      <c r="O10" s="287"/>
      <c r="P10" s="244"/>
      <c r="Q10" s="245"/>
      <c r="R10" s="245"/>
      <c r="S10" s="245"/>
      <c r="T10" s="245"/>
      <c r="U10" s="245"/>
      <c r="V10" s="245"/>
      <c r="W10" s="245"/>
      <c r="X10" s="245"/>
      <c r="Y10" s="245"/>
      <c r="Z10" s="265"/>
      <c r="AA10" s="300" t="s">
        <v>24</v>
      </c>
      <c r="AB10" s="301"/>
      <c r="AC10" s="301"/>
      <c r="AD10" s="301"/>
      <c r="AE10" s="301"/>
      <c r="AF10" s="301"/>
      <c r="AG10" s="301"/>
      <c r="AH10" s="290">
        <f>Adattábla!C17-SUM(AH3:AJ9)</f>
        <v>3000</v>
      </c>
      <c r="AI10" s="290"/>
      <c r="AJ10" s="291"/>
      <c r="AK10" s="130"/>
      <c r="AL10" s="131"/>
      <c r="AM10" s="131"/>
      <c r="AN10" s="131"/>
      <c r="AO10" s="131"/>
      <c r="AP10" s="131"/>
      <c r="AQ10" s="131"/>
      <c r="AR10" s="131"/>
      <c r="AS10" s="131"/>
      <c r="AT10" s="131"/>
      <c r="AU10" s="132"/>
      <c r="AV10" s="140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9"/>
      <c r="BM10" s="136"/>
      <c r="BN10" s="139"/>
      <c r="BO10" s="136"/>
      <c r="BP10" s="137"/>
      <c r="BQ10" s="137"/>
      <c r="BR10" s="137"/>
      <c r="BS10" s="137"/>
      <c r="BT10" s="137"/>
      <c r="BU10" s="138"/>
    </row>
    <row r="11" spans="1:73" x14ac:dyDescent="0.2">
      <c r="A11" s="288" t="s">
        <v>9</v>
      </c>
      <c r="B11" s="289"/>
      <c r="C11" s="289"/>
      <c r="D11" s="289"/>
      <c r="E11" s="289"/>
      <c r="F11" s="16" t="str">
        <f>IFERROR(VLOOKUP(P3,Adattábla!L:BK,51,FALSE),"")</f>
        <v/>
      </c>
      <c r="G11" s="281"/>
      <c r="H11" s="136"/>
      <c r="I11" s="302" t="s">
        <v>101</v>
      </c>
      <c r="J11" s="287"/>
      <c r="K11" s="303"/>
      <c r="L11" s="304"/>
      <c r="M11" s="305"/>
      <c r="N11" s="306" t="s">
        <v>102</v>
      </c>
      <c r="O11" s="307"/>
      <c r="P11" s="253"/>
      <c r="Q11" s="253"/>
      <c r="R11" s="172"/>
      <c r="S11" s="172"/>
      <c r="T11" s="172"/>
      <c r="U11" s="289" t="s">
        <v>103</v>
      </c>
      <c r="V11" s="289"/>
      <c r="W11" s="184"/>
      <c r="X11" s="184"/>
      <c r="Y11" s="184"/>
      <c r="Z11" s="185"/>
      <c r="AA11" s="292" t="s">
        <v>85</v>
      </c>
      <c r="AB11" s="293"/>
      <c r="AC11" s="293"/>
      <c r="AD11" s="293"/>
      <c r="AE11" s="294" t="str">
        <f>IFERROR(IF(P5="",VLOOKUP(P3,Adattábla!L2:AO111,29,FALSE),IF(IFERROR(VLOOKUP(VLOOKUP(P3,Adattábla!L2:AO111,29,FALSE),Adattábla!D10:E13,2,FALSE),0)&gt;IFERROR(VLOOKUP(VLOOKUP(P4,Adattábla!L2:AO111,29,FALSE),Adattábla!D10:E13,2,FALSE),0),VLOOKUP(P3,Adattábla!L2:AO111,29,FALSE),VLOOKUP(P4,Adattábla!L2:AO111,29,FALSE))),"")</f>
        <v/>
      </c>
      <c r="AF11" s="295"/>
      <c r="AG11" s="295"/>
      <c r="AH11" s="295"/>
      <c r="AI11" s="295"/>
      <c r="AJ11" s="296"/>
      <c r="AK11" s="130"/>
      <c r="AL11" s="131"/>
      <c r="AM11" s="131"/>
      <c r="AN11" s="131"/>
      <c r="AO11" s="131"/>
      <c r="AP11" s="131"/>
      <c r="AQ11" s="131"/>
      <c r="AR11" s="131"/>
      <c r="AS11" s="131"/>
      <c r="AT11" s="131"/>
      <c r="AU11" s="132"/>
      <c r="AV11" s="140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9"/>
      <c r="BM11" s="136"/>
      <c r="BN11" s="139"/>
      <c r="BO11" s="136"/>
      <c r="BP11" s="137"/>
      <c r="BQ11" s="137"/>
      <c r="BR11" s="137"/>
      <c r="BS11" s="137"/>
      <c r="BT11" s="137"/>
      <c r="BU11" s="138"/>
    </row>
    <row r="12" spans="1:73" ht="16" thickBot="1" x14ac:dyDescent="0.25">
      <c r="A12" s="288" t="s">
        <v>10</v>
      </c>
      <c r="B12" s="289"/>
      <c r="C12" s="289"/>
      <c r="D12" s="289"/>
      <c r="E12" s="289"/>
      <c r="F12" s="16" t="str">
        <f>IFERROR(VLOOKUP(P3,Adattábla!L:BK,52,FALSE),"")</f>
        <v/>
      </c>
      <c r="G12" s="281"/>
      <c r="H12" s="136"/>
      <c r="I12" s="309" t="s">
        <v>104</v>
      </c>
      <c r="J12" s="310"/>
      <c r="K12" s="310"/>
      <c r="L12" s="311"/>
      <c r="M12" s="311"/>
      <c r="N12" s="311"/>
      <c r="O12" s="272" t="s">
        <v>105</v>
      </c>
      <c r="P12" s="315"/>
      <c r="Q12" s="315"/>
      <c r="R12" s="269"/>
      <c r="S12" s="270"/>
      <c r="T12" s="271"/>
      <c r="U12" s="272" t="s">
        <v>106</v>
      </c>
      <c r="V12" s="273"/>
      <c r="W12" s="269"/>
      <c r="X12" s="270"/>
      <c r="Y12" s="270"/>
      <c r="Z12" s="278"/>
      <c r="AA12" s="279" t="s">
        <v>95</v>
      </c>
      <c r="AB12" s="195"/>
      <c r="AC12" s="195"/>
      <c r="AD12" s="195"/>
      <c r="AE12" s="312" t="str">
        <f>IFERROR(IF(IFERROR(VLOOKUP(P3,Adattábla!L2:AO111,30,FALSE),0)&gt;IFERROR(VLOOKUP(P4,Adattábla!L2:AO111,30,FALSE),0),VLOOKUP(P3,Adattábla!L2:AO111,30,FALSE),VLOOKUP(P4,Adattábla!L2:AO111,30,FALSE))+IF(V7="Dzsenn",IF(Y3&gt;Y4,Y3,Y4),0),"")</f>
        <v/>
      </c>
      <c r="AF12" s="313"/>
      <c r="AG12" s="313"/>
      <c r="AH12" s="313"/>
      <c r="AI12" s="313"/>
      <c r="AJ12" s="314"/>
      <c r="AK12" s="130"/>
      <c r="AL12" s="131"/>
      <c r="AM12" s="131"/>
      <c r="AN12" s="131"/>
      <c r="AO12" s="131"/>
      <c r="AP12" s="131"/>
      <c r="AQ12" s="131"/>
      <c r="AR12" s="131"/>
      <c r="AS12" s="131"/>
      <c r="AT12" s="131"/>
      <c r="AU12" s="132"/>
      <c r="AV12" s="140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9"/>
      <c r="BM12" s="136"/>
      <c r="BN12" s="139"/>
      <c r="BO12" s="136"/>
      <c r="BP12" s="137"/>
      <c r="BQ12" s="137"/>
      <c r="BR12" s="137"/>
      <c r="BS12" s="137"/>
      <c r="BT12" s="137"/>
      <c r="BU12" s="138"/>
    </row>
    <row r="13" spans="1:73" ht="16" thickBot="1" x14ac:dyDescent="0.25">
      <c r="A13" s="320" t="s">
        <v>11</v>
      </c>
      <c r="B13" s="188"/>
      <c r="C13" s="188"/>
      <c r="D13" s="188"/>
      <c r="E13" s="188"/>
      <c r="F13" s="188"/>
      <c r="G13" s="290" t="str">
        <f>IFERROR(AVERAGE(F3:F12),"")</f>
        <v/>
      </c>
      <c r="H13" s="291"/>
      <c r="I13" s="148" t="s">
        <v>86</v>
      </c>
      <c r="J13" s="149"/>
      <c r="K13" s="150"/>
      <c r="L13" s="297"/>
      <c r="M13" s="298"/>
      <c r="N13" s="298"/>
      <c r="O13" s="298"/>
      <c r="P13" s="298"/>
      <c r="Q13" s="298"/>
      <c r="R13" s="298"/>
      <c r="S13" s="298"/>
      <c r="T13" s="299"/>
      <c r="U13" s="149" t="s">
        <v>88</v>
      </c>
      <c r="V13" s="150"/>
      <c r="W13" s="11"/>
      <c r="X13" s="259" t="s">
        <v>89</v>
      </c>
      <c r="Y13" s="150"/>
      <c r="Z13" s="12"/>
      <c r="AA13" s="274" t="s">
        <v>97</v>
      </c>
      <c r="AB13" s="275"/>
      <c r="AC13" s="275"/>
      <c r="AD13" s="276"/>
      <c r="AE13" s="256" t="str">
        <f>IF(IFERROR((VLOOKUP(P3,Adattábla!L2:AM111,28,FALSE)),0)&lt;1,IFERROR(VLOOKUP(P4,Adattábla!L2:AM111,28,FALSE),"nincs"),VLOOKUP(P3,Adattábla!L2:AM111,28,FALSE))</f>
        <v>nincs</v>
      </c>
      <c r="AF13" s="257"/>
      <c r="AG13" s="257"/>
      <c r="AH13" s="257"/>
      <c r="AI13" s="257"/>
      <c r="AJ13" s="258"/>
      <c r="AK13" s="130"/>
      <c r="AL13" s="131"/>
      <c r="AM13" s="131"/>
      <c r="AN13" s="131"/>
      <c r="AO13" s="131"/>
      <c r="AP13" s="131"/>
      <c r="AQ13" s="131"/>
      <c r="AR13" s="131"/>
      <c r="AS13" s="131"/>
      <c r="AT13" s="131"/>
      <c r="AU13" s="132"/>
      <c r="AV13" s="140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9"/>
      <c r="BM13" s="136"/>
      <c r="BN13" s="139"/>
      <c r="BO13" s="136"/>
      <c r="BP13" s="137"/>
      <c r="BQ13" s="137"/>
      <c r="BR13" s="137"/>
      <c r="BS13" s="137"/>
      <c r="BT13" s="137"/>
      <c r="BU13" s="138"/>
    </row>
    <row r="14" spans="1:73" ht="16" thickBot="1" x14ac:dyDescent="0.25">
      <c r="A14" s="148" t="s">
        <v>114</v>
      </c>
      <c r="B14" s="149"/>
      <c r="C14" s="149"/>
      <c r="D14" s="149"/>
      <c r="E14" s="149"/>
      <c r="F14" s="149"/>
      <c r="G14" s="149"/>
      <c r="H14" s="222"/>
      <c r="I14" s="246" t="s">
        <v>90</v>
      </c>
      <c r="J14" s="247"/>
      <c r="K14" s="247"/>
      <c r="L14" s="247"/>
      <c r="M14" s="247"/>
      <c r="N14" s="247"/>
      <c r="O14" s="247"/>
      <c r="P14" s="247"/>
      <c r="Q14" s="247"/>
      <c r="R14" s="170"/>
      <c r="S14" s="244"/>
      <c r="T14" s="245"/>
      <c r="U14" s="264" t="s">
        <v>87</v>
      </c>
      <c r="V14" s="247"/>
      <c r="W14" s="170"/>
      <c r="X14" s="244"/>
      <c r="Y14" s="245"/>
      <c r="Z14" s="265"/>
      <c r="AA14" s="274" t="s">
        <v>99</v>
      </c>
      <c r="AB14" s="276"/>
      <c r="AC14" s="256" t="str">
        <f>IFERROR(IF(VLOOKUP(P3,Adattábla!L2:AM111,25,FALSE)&gt;IFERROR(VLOOKUP(P4,Adattábla!L2:AM111,25,FALSE),0),VLOOKUP(P3,Adattábla!L2:AM111,25,FALSE),VLOOKUP(P4,Adattábla!L2:AM111,25,FALSE))+IF(F7&gt;10,F7-10,0),"")</f>
        <v/>
      </c>
      <c r="AD14" s="257"/>
      <c r="AE14" s="257"/>
      <c r="AF14" s="257"/>
      <c r="AG14" s="257"/>
      <c r="AH14" s="257"/>
      <c r="AI14" s="257"/>
      <c r="AJ14" s="258"/>
      <c r="AK14" s="130"/>
      <c r="AL14" s="131"/>
      <c r="AM14" s="131"/>
      <c r="AN14" s="131"/>
      <c r="AO14" s="131"/>
      <c r="AP14" s="131"/>
      <c r="AQ14" s="131"/>
      <c r="AR14" s="131"/>
      <c r="AS14" s="131"/>
      <c r="AT14" s="131"/>
      <c r="AU14" s="132"/>
      <c r="AV14" s="140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9"/>
      <c r="BM14" s="136"/>
      <c r="BN14" s="139"/>
      <c r="BO14" s="136"/>
      <c r="BP14" s="137"/>
      <c r="BQ14" s="137"/>
      <c r="BR14" s="137"/>
      <c r="BS14" s="137"/>
      <c r="BT14" s="137"/>
      <c r="BU14" s="138"/>
    </row>
    <row r="15" spans="1:73" ht="15.75" customHeight="1" thickBot="1" x14ac:dyDescent="0.25">
      <c r="A15" s="223" t="str">
        <f>IFERROR(IF(VLOOKUP(P3,Adattábla!L:AD,19,FALSE)&gt;IFERROR(VLOOKUP(P4,Adattábla!L:AD,19,FALSE),0),P3,P4),"")</f>
        <v/>
      </c>
      <c r="B15" s="224"/>
      <c r="C15" s="224"/>
      <c r="D15" s="224"/>
      <c r="E15" s="224"/>
      <c r="F15" s="224"/>
      <c r="G15" s="224"/>
      <c r="H15" s="224"/>
      <c r="I15" s="229" t="s">
        <v>116</v>
      </c>
      <c r="J15" s="230"/>
      <c r="K15" s="231"/>
      <c r="L15" s="235" t="s">
        <v>70</v>
      </c>
      <c r="M15" s="236"/>
      <c r="N15" s="237"/>
      <c r="O15" s="235" t="s">
        <v>71</v>
      </c>
      <c r="P15" s="236"/>
      <c r="Q15" s="237"/>
      <c r="R15" s="235" t="s">
        <v>72</v>
      </c>
      <c r="S15" s="236"/>
      <c r="T15" s="237"/>
      <c r="U15" s="235" t="s">
        <v>73</v>
      </c>
      <c r="V15" s="236"/>
      <c r="W15" s="237"/>
      <c r="X15" s="225" t="s">
        <v>115</v>
      </c>
      <c r="Y15" s="225"/>
      <c r="Z15" s="226"/>
      <c r="AA15" s="277" t="s">
        <v>100</v>
      </c>
      <c r="AB15" s="277"/>
      <c r="AC15" s="266" t="str">
        <f>IFERROR(IF((VLOOKUP(P3,Adattábla!L2:AM111,26,FALSE)+(VLOOKUP(P3,Adattábla!L2:AM111,27,FALSE)+IF(F4&gt;10,F4-10,0)+IF(F10&gt;10,F10-10,0)))&gt;IFERROR(VLOOKUP(P4,Adattábla!L2:AM111,26,FALSE)+(VLOOKUP(P4,Adattábla!L2:AM111,27,FALSE))+IF(F4&gt;10,F4-10,0)+IF(F10&gt;10,F10-10,0),0),(VLOOKUP(P3,Adattábla!L2:AM111,26,FALSE)+(VLOOKUP(P3,Adattábla!L2:AM111,27,FALSE))+IF(F4&gt;10,F4-10,0)+IF(F10&gt;10,F10-10,0)),IFERROR(VLOOKUP(P4,Adattábla!L2:AM111,26,FALSE)+(VLOOKUP(P4,Adattábla!L2:AM111,27,FALSE))+IF(F4&gt;10,F4-10,0)+IF(F10&gt;10,F10-10,0),0)),"")</f>
        <v/>
      </c>
      <c r="AD15" s="267"/>
      <c r="AE15" s="267"/>
      <c r="AF15" s="267"/>
      <c r="AG15" s="267"/>
      <c r="AH15" s="267"/>
      <c r="AI15" s="267"/>
      <c r="AJ15" s="268"/>
      <c r="AK15" s="130"/>
      <c r="AL15" s="131"/>
      <c r="AM15" s="131"/>
      <c r="AN15" s="131"/>
      <c r="AO15" s="131"/>
      <c r="AP15" s="131"/>
      <c r="AQ15" s="131"/>
      <c r="AR15" s="131"/>
      <c r="AS15" s="131"/>
      <c r="AT15" s="131"/>
      <c r="AU15" s="132"/>
      <c r="AV15" s="140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9"/>
      <c r="BM15" s="136"/>
      <c r="BN15" s="139"/>
      <c r="BO15" s="136"/>
      <c r="BP15" s="137"/>
      <c r="BQ15" s="137"/>
      <c r="BR15" s="137"/>
      <c r="BS15" s="137"/>
      <c r="BT15" s="137"/>
      <c r="BU15" s="138"/>
    </row>
    <row r="16" spans="1:73" x14ac:dyDescent="0.2">
      <c r="A16" s="248" t="s">
        <v>119</v>
      </c>
      <c r="B16" s="249"/>
      <c r="C16" s="249"/>
      <c r="D16" s="249"/>
      <c r="E16" s="250" t="str">
        <f>IFERROR(IF(P5="Váltott kaszt",IFERROR(IF((VLOOKUP(Karakterlap!P3,Adattábla!L:AD,19,FALSE)-VLOOKUP(Karakterlap!P4,Adattábla!L:AD,19,FALSE))&gt;0,(VLOOKUP(Karakterlap!P3,Adattábla!L:AD,19,FALSE)-SUM(L18:W18))&amp;" (T:"&amp;VLOOKUP(Karakterlap!P3,Adattábla!L:AE,20,FALSE)&amp;" "&amp;"V:"&amp;VLOOKUP(Karakterlap!P3,Adattábla!L:AF,21,FALSE)&amp;")",VLOOKUP(Karakterlap!P3,Adattábla!L:AD,19,FALSE)+VLOOKUP(Karakterlap!P4,Adattábla!L:AD,19,FALSE)-SUM(L18:W18)-(Adattábla!I20*(VLOOKUP(Karakterlap!P4,Adattábla!L:AD,19,FALSE)/Karakterlap!Y4))&amp;" (T:"&amp;VLOOKUP(Karakterlap!P3,Adattábla!L:AE,20,FALSE)+VLOOKUP(Karakterlap!P4,Adattábla!L:AE,20,FALSE)&amp;" "&amp;"V:"&amp;VLOOKUP(Karakterlap!P3,Adattábla!L:AF,21,FALSE)+VLOOKUP(Karakterlap!P4,Adattábla!L:AF,21,FALSE)&amp;")"),""),(VLOOKUP(A15,Adattábla!L:AD,19,FALSE)-SUM(L18:W18))&amp;" (T:"&amp;VLOOKUP(A15,Adattábla!L:AE,20,FALSE)&amp;" "&amp;"V:"&amp;VLOOKUP(A15,Adattábla!L:AF,21,FALSE)&amp;")"),"")</f>
        <v/>
      </c>
      <c r="F16" s="250"/>
      <c r="G16" s="250"/>
      <c r="H16" s="251"/>
      <c r="I16" s="232"/>
      <c r="J16" s="233"/>
      <c r="K16" s="234"/>
      <c r="L16" s="238"/>
      <c r="M16" s="239"/>
      <c r="N16" s="240"/>
      <c r="O16" s="241"/>
      <c r="P16" s="242"/>
      <c r="Q16" s="243"/>
      <c r="R16" s="241"/>
      <c r="S16" s="242"/>
      <c r="T16" s="243"/>
      <c r="U16" s="241"/>
      <c r="V16" s="242"/>
      <c r="W16" s="243"/>
      <c r="X16" s="227"/>
      <c r="Y16" s="227"/>
      <c r="Z16" s="228"/>
      <c r="AA16" s="149" t="s">
        <v>107</v>
      </c>
      <c r="AB16" s="149"/>
      <c r="AC16" s="149"/>
      <c r="AD16" s="149"/>
      <c r="AE16" s="150"/>
      <c r="AF16" s="259" t="s">
        <v>108</v>
      </c>
      <c r="AG16" s="149"/>
      <c r="AH16" s="149"/>
      <c r="AI16" s="149"/>
      <c r="AJ16" s="222"/>
      <c r="AK16" s="130"/>
      <c r="AL16" s="131"/>
      <c r="AM16" s="131"/>
      <c r="AN16" s="131"/>
      <c r="AO16" s="131"/>
      <c r="AP16" s="131"/>
      <c r="AQ16" s="131"/>
      <c r="AR16" s="131"/>
      <c r="AS16" s="131"/>
      <c r="AT16" s="131"/>
      <c r="AU16" s="132"/>
      <c r="AV16" s="140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9"/>
      <c r="BM16" s="136"/>
      <c r="BN16" s="139"/>
      <c r="BO16" s="136"/>
      <c r="BP16" s="137"/>
      <c r="BQ16" s="137"/>
      <c r="BR16" s="137"/>
      <c r="BS16" s="137"/>
      <c r="BT16" s="137"/>
      <c r="BU16" s="138"/>
    </row>
    <row r="17" spans="1:73" ht="15" customHeight="1" x14ac:dyDescent="0.2">
      <c r="A17" s="214" t="s">
        <v>120</v>
      </c>
      <c r="B17" s="215"/>
      <c r="C17" s="215"/>
      <c r="D17" s="215"/>
      <c r="E17" s="215"/>
      <c r="F17" s="215"/>
      <c r="G17" s="216" t="s">
        <v>160</v>
      </c>
      <c r="H17" s="217"/>
      <c r="I17" s="213" t="b">
        <v>1</v>
      </c>
      <c r="J17" s="213"/>
      <c r="K17" s="213"/>
      <c r="L17" s="212" t="str">
        <f>IFERROR(VLOOKUP(P3,Adattábla!L:AD,15,FALSE),"")</f>
        <v/>
      </c>
      <c r="M17" s="212"/>
      <c r="N17" s="212"/>
      <c r="O17" s="207" t="str">
        <f>IFERROR(VLOOKUP(P3,Adattábla!L:AD,16,FALSE),"")</f>
        <v/>
      </c>
      <c r="P17" s="190"/>
      <c r="Q17" s="191"/>
      <c r="R17" s="280" t="str">
        <f>IFERROR(VLOOKUP(P3,Adattábla!L:AD,17,FALSE),"")</f>
        <v/>
      </c>
      <c r="S17" s="280"/>
      <c r="T17" s="280"/>
      <c r="U17" s="207" t="str">
        <f>IFERROR(IF(V7="Elf",20,IF(V7="Félelf",10,VLOOKUP(P3,Adattábla!L:AD,18,FALSE))),"")</f>
        <v/>
      </c>
      <c r="V17" s="190"/>
      <c r="W17" s="191"/>
      <c r="X17" s="203"/>
      <c r="Y17" s="204"/>
      <c r="Z17" s="205"/>
      <c r="AA17" s="253" t="s">
        <v>109</v>
      </c>
      <c r="AB17" s="254"/>
      <c r="AC17" s="260" t="str">
        <f>IFERROR(IF("Nomád sámán"=P3,F11,IF("Nomád sámán"=P4,F11,IF(F11&gt;10,F11-10,0))),"")</f>
        <v/>
      </c>
      <c r="AD17" s="261"/>
      <c r="AE17" s="262"/>
      <c r="AF17" s="255" t="s">
        <v>109</v>
      </c>
      <c r="AG17" s="254"/>
      <c r="AH17" s="260" t="str">
        <f>IFERROR(IF("Nomád sámán"=P3,F10,IF("Nomád sámán"=P4,F10,IF(F10&gt;10,F10-10,0))),"")</f>
        <v/>
      </c>
      <c r="AI17" s="261"/>
      <c r="AJ17" s="263"/>
      <c r="AK17" s="130"/>
      <c r="AL17" s="131"/>
      <c r="AM17" s="131"/>
      <c r="AN17" s="131"/>
      <c r="AO17" s="131"/>
      <c r="AP17" s="131"/>
      <c r="AQ17" s="131"/>
      <c r="AR17" s="131"/>
      <c r="AS17" s="131"/>
      <c r="AT17" s="131"/>
      <c r="AU17" s="132"/>
      <c r="AV17" s="140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9"/>
      <c r="BM17" s="136"/>
      <c r="BN17" s="139"/>
      <c r="BO17" s="136"/>
      <c r="BP17" s="137"/>
      <c r="BQ17" s="137"/>
      <c r="BR17" s="137"/>
      <c r="BS17" s="137"/>
      <c r="BT17" s="137"/>
      <c r="BU17" s="138"/>
    </row>
    <row r="18" spans="1:73" x14ac:dyDescent="0.2">
      <c r="A18" s="214" t="s">
        <v>117</v>
      </c>
      <c r="B18" s="215"/>
      <c r="C18" s="215"/>
      <c r="D18" s="215"/>
      <c r="E18" s="215"/>
      <c r="F18" s="215"/>
      <c r="G18" s="218"/>
      <c r="H18" s="219"/>
      <c r="I18" s="213" t="b">
        <v>1</v>
      </c>
      <c r="J18" s="213"/>
      <c r="K18" s="213"/>
      <c r="L18" s="208"/>
      <c r="M18" s="209"/>
      <c r="N18" s="210"/>
      <c r="O18" s="208"/>
      <c r="P18" s="209"/>
      <c r="Q18" s="210"/>
      <c r="R18" s="252"/>
      <c r="S18" s="252"/>
      <c r="T18" s="252"/>
      <c r="U18" s="208"/>
      <c r="V18" s="209"/>
      <c r="W18" s="210"/>
      <c r="X18" s="203"/>
      <c r="Y18" s="204"/>
      <c r="Z18" s="205"/>
      <c r="AA18" s="253" t="s">
        <v>110</v>
      </c>
      <c r="AB18" s="253"/>
      <c r="AC18" s="254"/>
      <c r="AD18" s="260" t="str">
        <f>IF("Nomád sámán"=P3,Y3*4,IF("Nomád sámán"=P4,Y4*4,AE12))</f>
        <v/>
      </c>
      <c r="AE18" s="262"/>
      <c r="AF18" s="255" t="s">
        <v>110</v>
      </c>
      <c r="AG18" s="253"/>
      <c r="AH18" s="254"/>
      <c r="AI18" s="260" t="str">
        <f>IF("Nomád sámán"=P3,Y3*4,IF("Nomád sámán"=P4,Y4*4,AE12))</f>
        <v/>
      </c>
      <c r="AJ18" s="263"/>
      <c r="AK18" s="130"/>
      <c r="AL18" s="131"/>
      <c r="AM18" s="131"/>
      <c r="AN18" s="131"/>
      <c r="AO18" s="131"/>
      <c r="AP18" s="131"/>
      <c r="AQ18" s="131"/>
      <c r="AR18" s="131"/>
      <c r="AS18" s="131"/>
      <c r="AT18" s="131"/>
      <c r="AU18" s="132"/>
      <c r="AV18" s="140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9"/>
      <c r="BM18" s="136"/>
      <c r="BN18" s="139"/>
      <c r="BO18" s="136"/>
      <c r="BP18" s="137"/>
      <c r="BQ18" s="137"/>
      <c r="BR18" s="137"/>
      <c r="BS18" s="137"/>
      <c r="BT18" s="137"/>
      <c r="BU18" s="138"/>
    </row>
    <row r="19" spans="1:73" x14ac:dyDescent="0.2">
      <c r="A19" s="214" t="s">
        <v>118</v>
      </c>
      <c r="B19" s="215"/>
      <c r="C19" s="215"/>
      <c r="D19" s="215"/>
      <c r="E19" s="215"/>
      <c r="F19" s="215"/>
      <c r="G19" s="220"/>
      <c r="H19" s="221"/>
      <c r="I19" s="213" t="b">
        <v>1</v>
      </c>
      <c r="J19" s="213"/>
      <c r="K19" s="213"/>
      <c r="L19" s="212" t="str">
        <f>IFERROR(L17+L18+IF(F5&gt;10,F5-10,0)+IF(F6&gt;10,F6-10,0)+IF(P5="Váltott kaszt",IF(P3="Fejvadász",ROUNDDOWN(Y3/2,0),0)+IF(P4="Fejvadász",ROUNDDOWN((Y4-Adattábla!I20)/2,0),0)+IF(P3="Tolvaj",Y3,0)+IF(P4="Tolvaj",Y4-Adattábla!I20,0)+IF(P3="Boszorkánymester",Y3,0)+IF(P4="Boszorkánymester",Y4-Adattábla!I20,0),IF(A15="Fejvadász",ROUNDDOWN(VLOOKUP(A15,Karakterlap!$P$3:$Z$4,10,FALSE)/2,0),0)+IF(A15="Tolvaj",VLOOKUP(A15,Karakterlap!$P$3:$Z$4,10,FALSE),0)+IF(A15="Boszorkánymester",VLOOKUP(A15,Karakterlap!$P$3:$Z$4,10,FALSE),0)),"")</f>
        <v/>
      </c>
      <c r="M19" s="212"/>
      <c r="N19" s="212"/>
      <c r="O19" s="207" t="str">
        <f>IFERROR(O17+O18+IF(F5&gt;10,F5-10,0)+IF(F6&gt;10,F6-10,0)+IF(F3&gt;10,F3-10,0),"")</f>
        <v/>
      </c>
      <c r="P19" s="190"/>
      <c r="Q19" s="191"/>
      <c r="R19" s="207" t="str">
        <f>IFERROR(R17+R18+IF(F5&gt;10,F5-10,0)+IF(F6&gt;10,F6-10,0),"")</f>
        <v/>
      </c>
      <c r="S19" s="190"/>
      <c r="T19" s="191"/>
      <c r="U19" s="190" t="str">
        <f>IFERROR(U17+U18+IF(F6&gt;10,F6-10,0),"")</f>
        <v/>
      </c>
      <c r="V19" s="190"/>
      <c r="W19" s="191"/>
      <c r="X19" s="203"/>
      <c r="Y19" s="204"/>
      <c r="Z19" s="205"/>
      <c r="AA19" s="253" t="s">
        <v>111</v>
      </c>
      <c r="AB19" s="253"/>
      <c r="AC19" s="254"/>
      <c r="AD19" s="192"/>
      <c r="AE19" s="194"/>
      <c r="AF19" s="255" t="s">
        <v>111</v>
      </c>
      <c r="AG19" s="253"/>
      <c r="AH19" s="254"/>
      <c r="AI19" s="192"/>
      <c r="AJ19" s="193"/>
      <c r="AK19" s="130"/>
      <c r="AL19" s="131"/>
      <c r="AM19" s="131"/>
      <c r="AN19" s="131"/>
      <c r="AO19" s="131"/>
      <c r="AP19" s="131"/>
      <c r="AQ19" s="131"/>
      <c r="AR19" s="131"/>
      <c r="AS19" s="131"/>
      <c r="AT19" s="131"/>
      <c r="AU19" s="132"/>
      <c r="AV19" s="140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9"/>
      <c r="BM19" s="136"/>
      <c r="BN19" s="139"/>
      <c r="BO19" s="136"/>
      <c r="BP19" s="137"/>
      <c r="BQ19" s="137"/>
      <c r="BR19" s="137"/>
      <c r="BS19" s="137"/>
      <c r="BT19" s="137"/>
      <c r="BU19" s="138"/>
    </row>
    <row r="20" spans="1:73" x14ac:dyDescent="0.2">
      <c r="A20" s="121"/>
      <c r="B20" s="122"/>
      <c r="C20" s="122"/>
      <c r="D20" s="122"/>
      <c r="E20" s="122"/>
      <c r="F20" s="122"/>
      <c r="G20" s="123" t="str">
        <f>IFERROR(VLOOKUP(A20,Fegyverek!A:F,3,FALSE),"")</f>
        <v/>
      </c>
      <c r="H20" s="124"/>
      <c r="I20" s="211" t="b">
        <v>0</v>
      </c>
      <c r="J20" s="211"/>
      <c r="K20" s="211"/>
      <c r="L20" s="13" t="str">
        <f>IFERROR(VLOOKUP(A20,Fegyverek!A:F,4,FALSE),"")</f>
        <v/>
      </c>
      <c r="M20" s="190" t="str">
        <f>IF(L20="","",L20+L19+IF(I20=TRUE,5,0))</f>
        <v/>
      </c>
      <c r="N20" s="191"/>
      <c r="O20" s="13" t="str">
        <f>IFERROR(IF(VLOOKUP(A20,Fegyverek!A:F,2,FALSE)="Célzó","",VLOOKUP(A20,Fegyverek!A:F,5,FALSE)),"")</f>
        <v/>
      </c>
      <c r="P20" s="190" t="str">
        <f>IF(O20="","",O20+O19+IF(I20=TRUE,10,0))</f>
        <v/>
      </c>
      <c r="Q20" s="191"/>
      <c r="R20" s="13" t="str">
        <f>IFERROR(IF(VLOOKUP(A20,Fegyverek!A:F,2,FALSE)="Célzó","",VLOOKUP(A20,Fegyverek!A:F,6,FALSE)),"")</f>
        <v/>
      </c>
      <c r="S20" s="190" t="str">
        <f>IFERROR(IF(VLOOKUP(A20,Fegyverek!A:F,2,FALSE)="Célzó",VLOOKUP(A20,Fegyverek!A:F,6,FALSE)&amp;" m",IF(R20="","",R20+$R$19+IF(I20=TRUE,10,0))),"")</f>
        <v/>
      </c>
      <c r="T20" s="191"/>
      <c r="U20" s="13" t="str">
        <f>IFERROR(IF(VLOOKUP(A20,Fegyverek!A:F,2,FALSE)="Célzó",VLOOKUP(A20,Fegyverek!A:F,5,FALSE),""),"")</f>
        <v/>
      </c>
      <c r="V20" s="190" t="str">
        <f>IF(U20="","",U20+U19+IF(I20=TRUE,10,0))</f>
        <v/>
      </c>
      <c r="W20" s="191"/>
      <c r="X20" s="201" t="str">
        <f>IFERROR(VLOOKUP(A20,Fegyverek!A:G,7,FALSE),"")</f>
        <v/>
      </c>
      <c r="Y20" s="201"/>
      <c r="Z20" s="202"/>
      <c r="AA20" s="253" t="s">
        <v>112</v>
      </c>
      <c r="AB20" s="253"/>
      <c r="AC20" s="254"/>
      <c r="AD20" s="192"/>
      <c r="AE20" s="194"/>
      <c r="AF20" s="255" t="s">
        <v>112</v>
      </c>
      <c r="AG20" s="253"/>
      <c r="AH20" s="254"/>
      <c r="AI20" s="192"/>
      <c r="AJ20" s="193"/>
      <c r="AK20" s="130"/>
      <c r="AL20" s="131"/>
      <c r="AM20" s="131"/>
      <c r="AN20" s="131"/>
      <c r="AO20" s="131"/>
      <c r="AP20" s="131"/>
      <c r="AQ20" s="131"/>
      <c r="AR20" s="131"/>
      <c r="AS20" s="131"/>
      <c r="AT20" s="131"/>
      <c r="AU20" s="132"/>
      <c r="AV20" s="140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9"/>
      <c r="BM20" s="136"/>
      <c r="BN20" s="139"/>
      <c r="BO20" s="136"/>
      <c r="BP20" s="137"/>
      <c r="BQ20" s="137"/>
      <c r="BR20" s="137"/>
      <c r="BS20" s="137"/>
      <c r="BT20" s="137"/>
      <c r="BU20" s="138"/>
    </row>
    <row r="21" spans="1:73" ht="16" thickBot="1" x14ac:dyDescent="0.25">
      <c r="A21" s="121"/>
      <c r="B21" s="122"/>
      <c r="C21" s="122"/>
      <c r="D21" s="122"/>
      <c r="E21" s="122"/>
      <c r="F21" s="122"/>
      <c r="G21" s="123" t="str">
        <f>IFERROR(VLOOKUP(A21,Fegyverek!A:F,3,FALSE),"")</f>
        <v/>
      </c>
      <c r="H21" s="124"/>
      <c r="I21" s="211" t="b">
        <v>0</v>
      </c>
      <c r="J21" s="211"/>
      <c r="K21" s="211"/>
      <c r="L21" s="50" t="str">
        <f>IFERROR(VLOOKUP(A21,Fegyverek!A:F,4,FALSE),"")</f>
        <v/>
      </c>
      <c r="M21" s="190" t="str">
        <f>IF(L21="","",L21+L19+IF(I21=TRUE,5,0))</f>
        <v/>
      </c>
      <c r="N21" s="191"/>
      <c r="O21" s="50" t="str">
        <f>IFERROR(IF(VLOOKUP(A21,Fegyverek!A:F,2,FALSE)="Célzó","",VLOOKUP(A21,Fegyverek!A:F,5,FALSE)),"")</f>
        <v/>
      </c>
      <c r="P21" s="190" t="str">
        <f>IF(O21="","",O21+O19+IF(I21=TRUE,10,0))</f>
        <v/>
      </c>
      <c r="Q21" s="191"/>
      <c r="R21" s="50" t="str">
        <f>IFERROR(IF(VLOOKUP(A21,Fegyverek!A:F,2,FALSE)="Célzó","",VLOOKUP(A21,Fegyverek!A:F,6,FALSE)),"")</f>
        <v/>
      </c>
      <c r="S21" s="190" t="str">
        <f>IFERROR(IF(VLOOKUP(A21,Fegyverek!A:F,2,FALSE)="Célzó",VLOOKUP(A21,Fegyverek!A:F,6,FALSE)&amp;" m",IF(R21="","",R21+$R$19+IF(I21=TRUE,10,0))),"")</f>
        <v/>
      </c>
      <c r="T21" s="191"/>
      <c r="U21" s="50" t="str">
        <f>IFERROR(IF(VLOOKUP(A21,Fegyverek!A:F,2,FALSE)="Célzó",VLOOKUP(A21,Fegyverek!A:F,5,FALSE),""),"")</f>
        <v/>
      </c>
      <c r="V21" s="190" t="str">
        <f>IF(U21="","",U21+U19+IF(I21=TRUE,10,0))</f>
        <v/>
      </c>
      <c r="W21" s="191"/>
      <c r="X21" s="201" t="str">
        <f>IFERROR(VLOOKUP(A21,Fegyverek!A:G,7,FALSE),"")</f>
        <v/>
      </c>
      <c r="Y21" s="201"/>
      <c r="Z21" s="202"/>
      <c r="AA21" s="195" t="s">
        <v>113</v>
      </c>
      <c r="AB21" s="195"/>
      <c r="AC21" s="196"/>
      <c r="AD21" s="198">
        <f>IF("Barbár"=P3,15+(Y3*4)+AD20,SUM(AC17:AE20))</f>
        <v>0</v>
      </c>
      <c r="AE21" s="199"/>
      <c r="AF21" s="197" t="s">
        <v>113</v>
      </c>
      <c r="AG21" s="195"/>
      <c r="AH21" s="196"/>
      <c r="AI21" s="198">
        <f>IF("Barbár"=P3,15+(Y3*4)+AI20,SUM(AH17:AJ20))</f>
        <v>0</v>
      </c>
      <c r="AJ21" s="200"/>
      <c r="AK21" s="130"/>
      <c r="AL21" s="131"/>
      <c r="AM21" s="131"/>
      <c r="AN21" s="131"/>
      <c r="AO21" s="131"/>
      <c r="AP21" s="131"/>
      <c r="AQ21" s="131"/>
      <c r="AR21" s="131"/>
      <c r="AS21" s="131"/>
      <c r="AT21" s="131"/>
      <c r="AU21" s="132"/>
      <c r="AV21" s="140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9"/>
      <c r="BM21" s="136"/>
      <c r="BN21" s="139"/>
      <c r="BO21" s="136"/>
      <c r="BP21" s="137"/>
      <c r="BQ21" s="137"/>
      <c r="BR21" s="137"/>
      <c r="BS21" s="137"/>
      <c r="BT21" s="137"/>
      <c r="BU21" s="138"/>
    </row>
    <row r="22" spans="1:73" x14ac:dyDescent="0.2">
      <c r="A22" s="121"/>
      <c r="B22" s="122"/>
      <c r="C22" s="122"/>
      <c r="D22" s="122"/>
      <c r="E22" s="122"/>
      <c r="F22" s="122"/>
      <c r="G22" s="123" t="str">
        <f>IFERROR(VLOOKUP(A22,Fegyverek!A:F,3,FALSE),"")</f>
        <v/>
      </c>
      <c r="H22" s="124"/>
      <c r="I22" s="211" t="b">
        <v>0</v>
      </c>
      <c r="J22" s="211"/>
      <c r="K22" s="211"/>
      <c r="L22" s="50" t="str">
        <f>IFERROR(VLOOKUP(A22,Fegyverek!A:F,4,FALSE),"")</f>
        <v/>
      </c>
      <c r="M22" s="190" t="str">
        <f>IF(L22="","",L22+L19+IF(I22=TRUE,5,0))</f>
        <v/>
      </c>
      <c r="N22" s="191"/>
      <c r="O22" s="50" t="str">
        <f>IFERROR(IF(VLOOKUP(A22,Fegyverek!A:F,2,FALSE)="Célzó","",VLOOKUP(A22,Fegyverek!A:F,5,FALSE)),"")</f>
        <v/>
      </c>
      <c r="P22" s="190" t="str">
        <f>IF(O22="","",O22+O19+IF(I22=TRUE,10,0))</f>
        <v/>
      </c>
      <c r="Q22" s="191"/>
      <c r="R22" s="50" t="str">
        <f>IFERROR(IF(VLOOKUP(A22,Fegyverek!A:F,2,FALSE)="Célzó","",VLOOKUP(A22,Fegyverek!A:F,6,FALSE)),"")</f>
        <v/>
      </c>
      <c r="S22" s="190" t="str">
        <f>IFERROR(IF(VLOOKUP(A22,Fegyverek!A:F,2,FALSE)="Célzó",VLOOKUP(A22,Fegyverek!A:F,6,FALSE)&amp;" m",IF(R22="","",R22+$R$19+IF(I22=TRUE,10,0))),"")</f>
        <v/>
      </c>
      <c r="T22" s="191"/>
      <c r="U22" s="50" t="str">
        <f>IFERROR(IF(VLOOKUP(A22,Fegyverek!A:F,2,FALSE)="Célzó",VLOOKUP(A22,Fegyverek!A:F,5,FALSE),""),"")</f>
        <v/>
      </c>
      <c r="V22" s="190" t="str">
        <f>IF(U22="","",U22+U19+IF(I22=TRUE,10,0))</f>
        <v/>
      </c>
      <c r="W22" s="191"/>
      <c r="X22" s="201" t="str">
        <f>IFERROR(VLOOKUP(A22,Fegyverek!A:G,7,FALSE),"")</f>
        <v/>
      </c>
      <c r="Y22" s="201"/>
      <c r="Z22" s="202"/>
      <c r="AA22" s="323" t="s">
        <v>196</v>
      </c>
      <c r="AB22" s="324"/>
      <c r="AC22" s="324"/>
      <c r="AD22" s="324"/>
      <c r="AE22" s="324"/>
      <c r="AF22" s="324"/>
      <c r="AG22" s="324"/>
      <c r="AH22" s="325"/>
      <c r="AI22" s="259" t="str">
        <f ca="1">IFERROR((VLOOKUP(P3,Adattábla!L:AH,22,FALSE)+VLOOKUP(P3,Adattábla!L:AH,23,FALSE)+IFERROR(VLOOKUP(P4,Adattábla!L:AH,23,FALSE),0)+IF(F6&gt;10,F6-10,0)+IF(F9&gt;10,F9-10,0))-AI23-SUM(G31:G46,P31:P46,X31:X46,AH36:AH46),"")</f>
        <v/>
      </c>
      <c r="AJ22" s="222"/>
      <c r="AK22" s="130"/>
      <c r="AL22" s="131"/>
      <c r="AM22" s="131"/>
      <c r="AN22" s="131"/>
      <c r="AO22" s="131"/>
      <c r="AP22" s="131"/>
      <c r="AQ22" s="131"/>
      <c r="AR22" s="131"/>
      <c r="AS22" s="131"/>
      <c r="AT22" s="131"/>
      <c r="AU22" s="132"/>
      <c r="AV22" s="140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9"/>
      <c r="BM22" s="136"/>
      <c r="BN22" s="139"/>
      <c r="BO22" s="136"/>
      <c r="BP22" s="137"/>
      <c r="BQ22" s="137"/>
      <c r="BR22" s="137"/>
      <c r="BS22" s="137"/>
      <c r="BT22" s="137"/>
      <c r="BU22" s="138"/>
    </row>
    <row r="23" spans="1:73" x14ac:dyDescent="0.2">
      <c r="A23" s="121"/>
      <c r="B23" s="122"/>
      <c r="C23" s="122"/>
      <c r="D23" s="122"/>
      <c r="E23" s="122"/>
      <c r="F23" s="122"/>
      <c r="G23" s="123" t="str">
        <f>IFERROR(VLOOKUP(A23,Fegyverek!A:F,3,FALSE),"")</f>
        <v/>
      </c>
      <c r="H23" s="124"/>
      <c r="I23" s="211" t="b">
        <v>0</v>
      </c>
      <c r="J23" s="211"/>
      <c r="K23" s="211"/>
      <c r="L23" s="50" t="str">
        <f>IFERROR(VLOOKUP(A23,Fegyverek!A:F,4,FALSE),"")</f>
        <v/>
      </c>
      <c r="M23" s="190" t="str">
        <f>IF(L23="","",L23+L19+IF(I23=TRUE,5,0))</f>
        <v/>
      </c>
      <c r="N23" s="191"/>
      <c r="O23" s="50" t="str">
        <f>IFERROR(IF(VLOOKUP(A23,Fegyverek!A:F,2,FALSE)="Célzó","",VLOOKUP(A23,Fegyverek!A:F,5,FALSE)),"")</f>
        <v/>
      </c>
      <c r="P23" s="190" t="str">
        <f>IF(O23="","",O23+O19+IF(I23=TRUE,10,0))</f>
        <v/>
      </c>
      <c r="Q23" s="191"/>
      <c r="R23" s="50" t="str">
        <f>IFERROR(IF(VLOOKUP(A23,Fegyverek!A:F,2,FALSE)="Célzó","",VLOOKUP(A23,Fegyverek!A:F,6,FALSE)),"")</f>
        <v/>
      </c>
      <c r="S23" s="190" t="str">
        <f>IFERROR(IF(VLOOKUP(A23,Fegyverek!A:F,2,FALSE)="Célzó",VLOOKUP(A23,Fegyverek!A:F,6,FALSE)&amp;" m",IF(R23="","",R23+$R$19+IF(I23=TRUE,10,0))),"")</f>
        <v/>
      </c>
      <c r="T23" s="191"/>
      <c r="U23" s="50" t="str">
        <f>IFERROR(IF(VLOOKUP(A23,Fegyverek!A:F,2,FALSE)="Célzó",VLOOKUP(A23,Fegyverek!A:F,5,FALSE),""),"")</f>
        <v/>
      </c>
      <c r="V23" s="190" t="str">
        <f>IF(U23="","",U23+U19+IF(I23=TRUE,10,0))</f>
        <v/>
      </c>
      <c r="W23" s="191"/>
      <c r="X23" s="201" t="str">
        <f>IFERROR(VLOOKUP(A23,Fegyverek!A:G,7,FALSE),"")</f>
        <v/>
      </c>
      <c r="Y23" s="201"/>
      <c r="Z23" s="202"/>
      <c r="AA23" s="181" t="s">
        <v>122</v>
      </c>
      <c r="AB23" s="182"/>
      <c r="AC23" s="182"/>
      <c r="AD23" s="182"/>
      <c r="AE23" s="182"/>
      <c r="AF23" s="182"/>
      <c r="AG23" s="182"/>
      <c r="AH23" s="183"/>
      <c r="AI23" s="184"/>
      <c r="AJ23" s="185"/>
      <c r="AK23" s="130"/>
      <c r="AL23" s="131"/>
      <c r="AM23" s="131"/>
      <c r="AN23" s="131"/>
      <c r="AO23" s="131"/>
      <c r="AP23" s="131"/>
      <c r="AQ23" s="131"/>
      <c r="AR23" s="131"/>
      <c r="AS23" s="131"/>
      <c r="AT23" s="131"/>
      <c r="AU23" s="132"/>
      <c r="AV23" s="140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9"/>
      <c r="BM23" s="136"/>
      <c r="BN23" s="139"/>
      <c r="BO23" s="136"/>
      <c r="BP23" s="137"/>
      <c r="BQ23" s="137"/>
      <c r="BR23" s="137"/>
      <c r="BS23" s="137"/>
      <c r="BT23" s="137"/>
      <c r="BU23" s="138"/>
    </row>
    <row r="24" spans="1:73" ht="16" thickBot="1" x14ac:dyDescent="0.25">
      <c r="A24" s="121"/>
      <c r="B24" s="122"/>
      <c r="C24" s="122"/>
      <c r="D24" s="122"/>
      <c r="E24" s="122"/>
      <c r="F24" s="122"/>
      <c r="G24" s="123" t="str">
        <f>IFERROR(VLOOKUP(A24,Fegyverek!A:F,3,FALSE),"")</f>
        <v/>
      </c>
      <c r="H24" s="124"/>
      <c r="I24" s="211" t="b">
        <v>0</v>
      </c>
      <c r="J24" s="211"/>
      <c r="K24" s="211"/>
      <c r="L24" s="50" t="str">
        <f>IFERROR(VLOOKUP(A24,Fegyverek!A:F,4,FALSE),"")</f>
        <v/>
      </c>
      <c r="M24" s="190" t="str">
        <f>IF(L24="","",L24+L19+IF(I24=TRUE,5,0))</f>
        <v/>
      </c>
      <c r="N24" s="191"/>
      <c r="O24" s="50" t="str">
        <f>IFERROR(IF(VLOOKUP(A24,Fegyverek!A:F,2,FALSE)="Célzó","",VLOOKUP(A24,Fegyverek!A:F,5,FALSE)),"")</f>
        <v/>
      </c>
      <c r="P24" s="190" t="str">
        <f>IF(O24="","",O24+O19+IF(I24=TRUE,10,0))</f>
        <v/>
      </c>
      <c r="Q24" s="191"/>
      <c r="R24" s="50" t="str">
        <f>IFERROR(IF(VLOOKUP(A24,Fegyverek!A:F,2,FALSE)="Célzó","",VLOOKUP(A24,Fegyverek!A:F,6,FALSE)),"")</f>
        <v/>
      </c>
      <c r="S24" s="190" t="str">
        <f>IFERROR(IF(VLOOKUP(A24,Fegyverek!A:F,2,FALSE)="Célzó",VLOOKUP(A24,Fegyverek!A:F,6,FALSE)&amp;" m",IF(R24="","",R24+$R$19+IF(I24=TRUE,10,0))),"")</f>
        <v/>
      </c>
      <c r="T24" s="191"/>
      <c r="U24" s="50" t="str">
        <f>IFERROR(IF(VLOOKUP(A24,Fegyverek!A:F,2,FALSE)="Célzó",VLOOKUP(A24,Fegyverek!A:F,5,FALSE),""),"")</f>
        <v/>
      </c>
      <c r="V24" s="190" t="str">
        <f>IF(U24="","",U24+U19+IF(I24=TRUE,10,0))</f>
        <v/>
      </c>
      <c r="W24" s="191"/>
      <c r="X24" s="201" t="str">
        <f>IFERROR(VLOOKUP(A24,Fegyverek!A:G,7,FALSE),"")</f>
        <v/>
      </c>
      <c r="Y24" s="201"/>
      <c r="Z24" s="202"/>
      <c r="AA24" s="186" t="s">
        <v>123</v>
      </c>
      <c r="AB24" s="187"/>
      <c r="AC24" s="187"/>
      <c r="AD24" s="187"/>
      <c r="AE24" s="187"/>
      <c r="AF24" s="187"/>
      <c r="AG24" s="187"/>
      <c r="AH24" s="188">
        <f>IFERROR(((IFERROR(VLOOKUP(P3,Adattábla!L:AI,24,FALSE),0)+IFERROR(VLOOKUP(P4,Adattábla!L:AI,24,FALSE),0))+(AI23*3))-SUM(AG25:AH34),"")</f>
        <v>0</v>
      </c>
      <c r="AI24" s="188"/>
      <c r="AJ24" s="189"/>
      <c r="AK24" s="130"/>
      <c r="AL24" s="131"/>
      <c r="AM24" s="131"/>
      <c r="AN24" s="131"/>
      <c r="AO24" s="131"/>
      <c r="AP24" s="131"/>
      <c r="AQ24" s="131"/>
      <c r="AR24" s="131"/>
      <c r="AS24" s="131"/>
      <c r="AT24" s="131"/>
      <c r="AU24" s="132"/>
      <c r="AV24" s="140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9"/>
      <c r="BM24" s="136"/>
      <c r="BN24" s="139"/>
      <c r="BO24" s="136"/>
      <c r="BP24" s="137"/>
      <c r="BQ24" s="137"/>
      <c r="BR24" s="137"/>
      <c r="BS24" s="137"/>
      <c r="BT24" s="137"/>
      <c r="BU24" s="138"/>
    </row>
    <row r="25" spans="1:73" x14ac:dyDescent="0.2">
      <c r="A25" s="121"/>
      <c r="B25" s="122"/>
      <c r="C25" s="122"/>
      <c r="D25" s="122"/>
      <c r="E25" s="122"/>
      <c r="F25" s="122"/>
      <c r="G25" s="123" t="str">
        <f>IFERROR(VLOOKUP(A25,Fegyverek!A:F,3,FALSE),"")</f>
        <v/>
      </c>
      <c r="H25" s="124"/>
      <c r="I25" s="211" t="b">
        <v>0</v>
      </c>
      <c r="J25" s="211"/>
      <c r="K25" s="211"/>
      <c r="L25" s="50" t="str">
        <f>IFERROR(VLOOKUP(A25,Fegyverek!A:F,4,FALSE),"")</f>
        <v/>
      </c>
      <c r="M25" s="190" t="str">
        <f>IF(L25="","",L25+L19+IF(I25=TRUE,5,0))</f>
        <v/>
      </c>
      <c r="N25" s="191"/>
      <c r="O25" s="50" t="str">
        <f>IFERROR(IF(VLOOKUP(A25,Fegyverek!A:F,2,FALSE)="Célzó","",VLOOKUP(A25,Fegyverek!A:F,5,FALSE)),"")</f>
        <v/>
      </c>
      <c r="P25" s="190" t="str">
        <f>IF(O25="","",O25+O19+IF(I25=TRUE,10,0))</f>
        <v/>
      </c>
      <c r="Q25" s="191"/>
      <c r="R25" s="50" t="str">
        <f>IFERROR(IF(VLOOKUP(A25,Fegyverek!A:F,2,FALSE)="Célzó","",VLOOKUP(A25,Fegyverek!A:F,6,FALSE)),"")</f>
        <v/>
      </c>
      <c r="S25" s="190" t="str">
        <f>IFERROR(IF(VLOOKUP(A25,Fegyverek!A:F,2,FALSE)="Célzó",VLOOKUP(A25,Fegyverek!A:F,6,FALSE)&amp;" m",IF(R25="","",R25+$R$19+IF(I25=TRUE,10,0))),"")</f>
        <v/>
      </c>
      <c r="T25" s="191"/>
      <c r="U25" s="50" t="str">
        <f>IFERROR(IF(VLOOKUP(A25,Fegyverek!A:F,2,FALSE)="Célzó",VLOOKUP(A25,Fegyverek!A:F,5,FALSE),""),"")</f>
        <v/>
      </c>
      <c r="V25" s="190" t="str">
        <f>IF(U25="","",U25+U19+IF(I25=TRUE,10,0))</f>
        <v/>
      </c>
      <c r="W25" s="191"/>
      <c r="X25" s="201" t="str">
        <f>IFERROR(VLOOKUP(A25,Fegyverek!A:G,7,FALSE),"")</f>
        <v/>
      </c>
      <c r="Y25" s="201"/>
      <c r="Z25" s="202"/>
      <c r="AA25" s="154" t="s">
        <v>125</v>
      </c>
      <c r="AB25" s="155"/>
      <c r="AC25" s="155"/>
      <c r="AD25" s="155"/>
      <c r="AE25" s="155"/>
      <c r="AF25" s="155"/>
      <c r="AG25" s="318"/>
      <c r="AH25" s="318"/>
      <c r="AI25" s="287" t="str">
        <f>IFERROR(IF(IFERROR(VLOOKUP($P$3,Adattábla!L:AZ,32,FALSE),0)&gt;IFERROR(VLOOKUP($P$4,Adattábla!L:AZ,32,FALSE),0),IFERROR(VLOOKUP($P$3,Adattábla!L:AZ,32,FALSE),0),IFERROR(VLOOKUP($P$4,Adattábla!L:AZ,32,FALSE),0))+IF($F$6&gt;10,$F$6-10,0)+IF(V7="Khál",20,0)+AG25&amp;"%","")</f>
        <v/>
      </c>
      <c r="AJ25" s="328"/>
      <c r="AK25" s="130"/>
      <c r="AL25" s="131"/>
      <c r="AM25" s="131"/>
      <c r="AN25" s="131"/>
      <c r="AO25" s="131"/>
      <c r="AP25" s="131"/>
      <c r="AQ25" s="131"/>
      <c r="AR25" s="131"/>
      <c r="AS25" s="131"/>
      <c r="AT25" s="131"/>
      <c r="AU25" s="132"/>
      <c r="AV25" s="140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9"/>
      <c r="BM25" s="136"/>
      <c r="BN25" s="139"/>
      <c r="BO25" s="136"/>
      <c r="BP25" s="137"/>
      <c r="BQ25" s="137"/>
      <c r="BR25" s="137"/>
      <c r="BS25" s="137"/>
      <c r="BT25" s="137"/>
      <c r="BU25" s="138"/>
    </row>
    <row r="26" spans="1:73" x14ac:dyDescent="0.2">
      <c r="A26" s="121"/>
      <c r="B26" s="122"/>
      <c r="C26" s="122"/>
      <c r="D26" s="122"/>
      <c r="E26" s="122"/>
      <c r="F26" s="122"/>
      <c r="G26" s="123" t="str">
        <f>IFERROR(VLOOKUP(A26,Fegyverek!A:F,3,FALSE),"")</f>
        <v/>
      </c>
      <c r="H26" s="124"/>
      <c r="I26" s="211" t="b">
        <v>0</v>
      </c>
      <c r="J26" s="211"/>
      <c r="K26" s="211"/>
      <c r="L26" s="50" t="str">
        <f>IFERROR(VLOOKUP(A26,Fegyverek!A:F,4,FALSE),"")</f>
        <v/>
      </c>
      <c r="M26" s="190" t="str">
        <f>IF(L26="","",L26+L19+IF(I26=TRUE,5,0))</f>
        <v/>
      </c>
      <c r="N26" s="191"/>
      <c r="O26" s="50" t="str">
        <f>IFERROR(IF(VLOOKUP(A26,Fegyverek!A:F,2,FALSE)="Célzó","",VLOOKUP(A26,Fegyverek!A:F,5,FALSE)),"")</f>
        <v/>
      </c>
      <c r="P26" s="190" t="str">
        <f>IF(O26="","",O26+O19+IF(I26=TRUE,10,0))</f>
        <v/>
      </c>
      <c r="Q26" s="191"/>
      <c r="R26" s="50" t="str">
        <f>IFERROR(IF(VLOOKUP(A26,Fegyverek!A:F,2,FALSE)="Célzó","",VLOOKUP(A26,Fegyverek!A:F,6,FALSE)),"")</f>
        <v/>
      </c>
      <c r="S26" s="190" t="str">
        <f>IFERROR(IF(VLOOKUP(A26,Fegyverek!A:F,2,FALSE)="Célzó",VLOOKUP(A26,Fegyverek!A:F,6,FALSE)&amp;" m",IF(R26="","",R26+$R$19+IF(I26=TRUE,10,0))),"")</f>
        <v/>
      </c>
      <c r="T26" s="191"/>
      <c r="U26" s="50" t="str">
        <f>IFERROR(IF(VLOOKUP(A26,Fegyverek!A:F,2,FALSE)="Célzó",VLOOKUP(A26,Fegyverek!A:F,5,FALSE),""),"")</f>
        <v/>
      </c>
      <c r="V26" s="190" t="str">
        <f>IF(U26="","",U26+U19+IF(I26=TRUE,10,0))</f>
        <v/>
      </c>
      <c r="W26" s="191"/>
      <c r="X26" s="201" t="str">
        <f>IFERROR(VLOOKUP(A26,Fegyverek!A:G,7,FALSE),"")</f>
        <v/>
      </c>
      <c r="Y26" s="201"/>
      <c r="Z26" s="202"/>
      <c r="AA26" s="302" t="s">
        <v>126</v>
      </c>
      <c r="AB26" s="287"/>
      <c r="AC26" s="287"/>
      <c r="AD26" s="287"/>
      <c r="AE26" s="287"/>
      <c r="AF26" s="287"/>
      <c r="AG26" s="184"/>
      <c r="AH26" s="184"/>
      <c r="AI26" s="287" t="str">
        <f>IFERROR(IF(IFERROR(VLOOKUP($P$3,Adattábla!L:AZ,33,FALSE),0)&gt;IFERROR(VLOOKUP($P$4,Adattábla!L:AZ,33,FALSE),0),IFERROR(VLOOKUP($P$3,Adattábla!L:AZ,33,FALSE),0),IFERROR(VLOOKUP($P$4,Adattábla!L:AZ,33,FALSE),0))+IF($F$6&gt;10,$F$6-10,0)+IF(V7="Khál",20,0)+AG26&amp;"%","")</f>
        <v/>
      </c>
      <c r="AJ26" s="328"/>
      <c r="AK26" s="130"/>
      <c r="AL26" s="131"/>
      <c r="AM26" s="131"/>
      <c r="AN26" s="131"/>
      <c r="AO26" s="131"/>
      <c r="AP26" s="131"/>
      <c r="AQ26" s="131"/>
      <c r="AR26" s="131"/>
      <c r="AS26" s="131"/>
      <c r="AT26" s="131"/>
      <c r="AU26" s="132"/>
      <c r="AV26" s="140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9"/>
      <c r="BM26" s="136"/>
      <c r="BN26" s="139"/>
      <c r="BO26" s="136"/>
      <c r="BP26" s="137"/>
      <c r="BQ26" s="137"/>
      <c r="BR26" s="137"/>
      <c r="BS26" s="137"/>
      <c r="BT26" s="137"/>
      <c r="BU26" s="138"/>
    </row>
    <row r="27" spans="1:73" x14ac:dyDescent="0.2">
      <c r="A27" s="121"/>
      <c r="B27" s="122"/>
      <c r="C27" s="122"/>
      <c r="D27" s="122"/>
      <c r="E27" s="122"/>
      <c r="F27" s="122"/>
      <c r="G27" s="123" t="str">
        <f>IFERROR(VLOOKUP(A27,Fegyverek!A:F,3,FALSE),"")</f>
        <v/>
      </c>
      <c r="H27" s="124"/>
      <c r="I27" s="211" t="b">
        <v>0</v>
      </c>
      <c r="J27" s="211"/>
      <c r="K27" s="211"/>
      <c r="L27" s="50" t="str">
        <f>IFERROR(VLOOKUP(A27,Fegyverek!A:F,4,FALSE),"")</f>
        <v/>
      </c>
      <c r="M27" s="190" t="str">
        <f>IF(L27="","",L27+L19+IF(I27=TRUE,5,0))</f>
        <v/>
      </c>
      <c r="N27" s="191"/>
      <c r="O27" s="50" t="str">
        <f>IFERROR(IF(VLOOKUP(A27,Fegyverek!A:F,2,FALSE)="Célzó","",VLOOKUP(A27,Fegyverek!A:F,5,FALSE)),"")</f>
        <v/>
      </c>
      <c r="P27" s="190" t="str">
        <f>IF(O27="","",O27+O19+IF(I27=TRUE,10,0))</f>
        <v/>
      </c>
      <c r="Q27" s="191"/>
      <c r="R27" s="50" t="str">
        <f>IFERROR(IF(VLOOKUP(A27,Fegyverek!A:F,2,FALSE)="Célzó","",VLOOKUP(A27,Fegyverek!A:F,6,FALSE)),"")</f>
        <v/>
      </c>
      <c r="S27" s="190" t="str">
        <f>IFERROR(IF(VLOOKUP(A27,Fegyverek!A:F,2,FALSE)="Célzó",VLOOKUP(A27,Fegyverek!A:F,6,FALSE)&amp;" m",IF(R27="","",R27+$R$19+IF(I27=TRUE,10,0))),"")</f>
        <v/>
      </c>
      <c r="T27" s="191"/>
      <c r="U27" s="50" t="str">
        <f>IFERROR(IF(VLOOKUP(A27,Fegyverek!A:F,2,FALSE)="Célzó",VLOOKUP(A27,Fegyverek!A:F,5,FALSE),""),"")</f>
        <v/>
      </c>
      <c r="V27" s="190" t="str">
        <f>IF(U27="","",U27+U19+IF(I27=TRUE,10,0))</f>
        <v/>
      </c>
      <c r="W27" s="191"/>
      <c r="X27" s="201" t="str">
        <f>IFERROR(VLOOKUP(A27,Fegyverek!A:G,7,FALSE),"")</f>
        <v/>
      </c>
      <c r="Y27" s="201"/>
      <c r="Z27" s="202"/>
      <c r="AA27" s="302" t="s">
        <v>127</v>
      </c>
      <c r="AB27" s="287"/>
      <c r="AC27" s="287"/>
      <c r="AD27" s="287"/>
      <c r="AE27" s="287"/>
      <c r="AF27" s="287"/>
      <c r="AG27" s="184"/>
      <c r="AH27" s="184"/>
      <c r="AI27" s="287" t="str">
        <f>IFERROR(IF(IFERROR(VLOOKUP($P$3,Adattábla!L:AZ,34,FALSE),0)&gt;IFERROR(VLOOKUP($P$4,Adattábla!L:AZ,34,FALSE),0),IFERROR(VLOOKUP($P$3,Adattábla!L:AZ,34,FALSE),0),IFERROR(VLOOKUP($P$4,Adattábla!L:AZ,34,FALSE),0))+IF($F$6&gt;10,$F$6-10,0)+IF(V7="Khál",20,0)+AG27&amp;"%","")</f>
        <v/>
      </c>
      <c r="AJ27" s="328"/>
      <c r="AK27" s="130"/>
      <c r="AL27" s="131"/>
      <c r="AM27" s="131"/>
      <c r="AN27" s="131"/>
      <c r="AO27" s="131"/>
      <c r="AP27" s="131"/>
      <c r="AQ27" s="131"/>
      <c r="AR27" s="131"/>
      <c r="AS27" s="131"/>
      <c r="AT27" s="131"/>
      <c r="AU27" s="132"/>
      <c r="AV27" s="140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9"/>
      <c r="BM27" s="136"/>
      <c r="BN27" s="139"/>
      <c r="BO27" s="136"/>
      <c r="BP27" s="137"/>
      <c r="BQ27" s="137"/>
      <c r="BR27" s="137"/>
      <c r="BS27" s="137"/>
      <c r="BT27" s="137"/>
      <c r="BU27" s="138"/>
    </row>
    <row r="28" spans="1:73" x14ac:dyDescent="0.2">
      <c r="A28" s="121"/>
      <c r="B28" s="122"/>
      <c r="C28" s="122"/>
      <c r="D28" s="122"/>
      <c r="E28" s="122"/>
      <c r="F28" s="122"/>
      <c r="G28" s="123" t="str">
        <f>IFERROR(VLOOKUP(A28,Fegyverek!A:F,3,FALSE),"")</f>
        <v/>
      </c>
      <c r="H28" s="124"/>
      <c r="I28" s="211" t="b">
        <v>0</v>
      </c>
      <c r="J28" s="211"/>
      <c r="K28" s="211"/>
      <c r="L28" s="50" t="str">
        <f>IFERROR(VLOOKUP(A28,Fegyverek!A:F,4,FALSE),"")</f>
        <v/>
      </c>
      <c r="M28" s="190" t="str">
        <f>IF(L28="","",L28+L19+IF(I28=TRUE,5,0))</f>
        <v/>
      </c>
      <c r="N28" s="191"/>
      <c r="O28" s="50" t="str">
        <f>IFERROR(IF(VLOOKUP(A28,Fegyverek!A:F,2,FALSE)="Célzó","",VLOOKUP(A28,Fegyverek!A:F,5,FALSE)),"")</f>
        <v/>
      </c>
      <c r="P28" s="190" t="str">
        <f>IF(O28="","",O28+O19+IF(I28=TRUE,10,0))</f>
        <v/>
      </c>
      <c r="Q28" s="191"/>
      <c r="R28" s="50" t="str">
        <f>IFERROR(IF(VLOOKUP(A28,Fegyverek!A:F,2,FALSE)="Célzó","",VLOOKUP(A28,Fegyverek!A:F,6,FALSE)),"")</f>
        <v/>
      </c>
      <c r="S28" s="190" t="str">
        <f>IFERROR(IF(VLOOKUP(A28,Fegyverek!A:F,2,FALSE)="Célzó",VLOOKUP(A28,Fegyverek!A:F,6,FALSE)&amp;" m",IF(R28="","",R28+$R$19+IF(I28=TRUE,10,0))),"")</f>
        <v/>
      </c>
      <c r="T28" s="191"/>
      <c r="U28" s="50" t="str">
        <f>IFERROR(IF(VLOOKUP(A28,Fegyverek!A:F,2,FALSE)="Célzó",VLOOKUP(A28,Fegyverek!A:F,5,FALSE),""),"")</f>
        <v/>
      </c>
      <c r="V28" s="190" t="str">
        <f>IF(U28="","",U28+U19+IF(I28=TRUE,10,0))</f>
        <v/>
      </c>
      <c r="W28" s="191"/>
      <c r="X28" s="201" t="str">
        <f>IFERROR(VLOOKUP(A28,Fegyverek!A:G,7,FALSE),"")</f>
        <v/>
      </c>
      <c r="Y28" s="201"/>
      <c r="Z28" s="202"/>
      <c r="AA28" s="302" t="s">
        <v>128</v>
      </c>
      <c r="AB28" s="287"/>
      <c r="AC28" s="287"/>
      <c r="AD28" s="287"/>
      <c r="AE28" s="287"/>
      <c r="AF28" s="287"/>
      <c r="AG28" s="184"/>
      <c r="AH28" s="184"/>
      <c r="AI28" s="287" t="str">
        <f>IFERROR(IF(IFERROR(VLOOKUP($P$3,Adattábla!L:AZ,35,FALSE),0)&gt;IFERROR(VLOOKUP($P$4,Adattábla!L:AZ,35,FALSE),0),IFERROR(VLOOKUP($P$3,Adattábla!L:AZ,35,FALSE),0),IFERROR(VLOOKUP($P$4,Adattábla!L:AZ,35,FALSE),0))+IF($F$6&gt;10,$F$6-10,0)+IF(V7="Khál",30,0)+AG28&amp;"%","")</f>
        <v/>
      </c>
      <c r="AJ28" s="328"/>
      <c r="AK28" s="130"/>
      <c r="AL28" s="131"/>
      <c r="AM28" s="131"/>
      <c r="AN28" s="131"/>
      <c r="AO28" s="131"/>
      <c r="AP28" s="131"/>
      <c r="AQ28" s="131"/>
      <c r="AR28" s="131"/>
      <c r="AS28" s="131"/>
      <c r="AT28" s="131"/>
      <c r="AU28" s="132"/>
      <c r="AV28" s="140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9"/>
      <c r="BM28" s="136"/>
      <c r="BN28" s="139"/>
      <c r="BO28" s="136"/>
      <c r="BP28" s="137"/>
      <c r="BQ28" s="137"/>
      <c r="BR28" s="137"/>
      <c r="BS28" s="137"/>
      <c r="BT28" s="137"/>
      <c r="BU28" s="138"/>
    </row>
    <row r="29" spans="1:73" ht="16" thickBot="1" x14ac:dyDescent="0.25">
      <c r="A29" s="125"/>
      <c r="B29" s="126"/>
      <c r="C29" s="126"/>
      <c r="D29" s="126"/>
      <c r="E29" s="126"/>
      <c r="F29" s="126"/>
      <c r="G29" s="123" t="str">
        <f>IFERROR(VLOOKUP(A29,Fegyverek!A:F,3,FALSE),"")</f>
        <v/>
      </c>
      <c r="H29" s="124"/>
      <c r="I29" s="206" t="b">
        <v>0</v>
      </c>
      <c r="J29" s="206"/>
      <c r="K29" s="206"/>
      <c r="L29" s="50" t="str">
        <f>IFERROR(VLOOKUP(A29,Fegyverek!A:F,4,FALSE),"")</f>
        <v/>
      </c>
      <c r="M29" s="179" t="str">
        <f>IF(L29="","",L29+L19+IF(I29=TRUE,5,0))</f>
        <v/>
      </c>
      <c r="N29" s="180"/>
      <c r="O29" s="50" t="str">
        <f>IFERROR(IF(VLOOKUP(A29,Fegyverek!A:F,2,FALSE)="Célzó","",VLOOKUP(A29,Fegyverek!A:F,5,FALSE)),"")</f>
        <v/>
      </c>
      <c r="P29" s="179" t="str">
        <f>IF(O29="","",O29+O19+IF(I29=TRUE,10,0))</f>
        <v/>
      </c>
      <c r="Q29" s="180"/>
      <c r="R29" s="50" t="str">
        <f>IFERROR(IF(VLOOKUP(A29,Fegyverek!A:F,2,FALSE)="Célzó","",VLOOKUP(A29,Fegyverek!A:F,6,FALSE)),"")</f>
        <v/>
      </c>
      <c r="S29" s="190" t="str">
        <f>IFERROR(IF(VLOOKUP(A29,Fegyverek!A:F,2,FALSE)="Célzó",VLOOKUP(A29,Fegyverek!A:F,6,FALSE)&amp;" m",IF(R29="","",R29+$R$19+IF(I29=TRUE,10,0))),"")</f>
        <v/>
      </c>
      <c r="T29" s="191"/>
      <c r="U29" s="50" t="str">
        <f>IFERROR(IF(VLOOKUP(A29,Fegyverek!A:F,2,FALSE)="Célzó",VLOOKUP(A29,Fegyverek!A:F,5,FALSE),""),"")</f>
        <v/>
      </c>
      <c r="V29" s="179" t="str">
        <f>IF(U29="","",U29+U19+IF(I29=TRUE,10,0))</f>
        <v/>
      </c>
      <c r="W29" s="180"/>
      <c r="X29" s="201" t="str">
        <f>IFERROR(VLOOKUP(A29,Fegyverek!A:G,7,FALSE),"")</f>
        <v/>
      </c>
      <c r="Y29" s="201"/>
      <c r="Z29" s="202"/>
      <c r="AA29" s="302" t="s">
        <v>129</v>
      </c>
      <c r="AB29" s="287"/>
      <c r="AC29" s="287"/>
      <c r="AD29" s="287"/>
      <c r="AE29" s="287"/>
      <c r="AF29" s="287"/>
      <c r="AG29" s="184"/>
      <c r="AH29" s="184"/>
      <c r="AI29" s="287" t="str">
        <f>IFERROR(IF(IFERROR(VLOOKUP($P$3,Adattábla!L:AZ,36,FALSE),0)&gt;IFERROR(VLOOKUP($P$4,Adattábla!L:AZ,36,FALSE),0),IFERROR(VLOOKUP($P$3,Adattábla!L:AZ,36,FALSE),0),IFERROR(VLOOKUP($P$4,Adattábla!L:AZ,36,FALSE),0))+IF($F$6&gt;10,$F$6-10,0)+IF(V7="Khál",30,0)+AG29&amp;"%","")</f>
        <v/>
      </c>
      <c r="AJ29" s="328"/>
      <c r="AK29" s="130"/>
      <c r="AL29" s="131"/>
      <c r="AM29" s="131"/>
      <c r="AN29" s="131"/>
      <c r="AO29" s="131"/>
      <c r="AP29" s="131"/>
      <c r="AQ29" s="131"/>
      <c r="AR29" s="131"/>
      <c r="AS29" s="131"/>
      <c r="AT29" s="131"/>
      <c r="AU29" s="132"/>
      <c r="AV29" s="140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9"/>
      <c r="BM29" s="136"/>
      <c r="BN29" s="139"/>
      <c r="BO29" s="136"/>
      <c r="BP29" s="137"/>
      <c r="BQ29" s="137"/>
      <c r="BR29" s="137"/>
      <c r="BS29" s="137"/>
      <c r="BT29" s="137"/>
      <c r="BU29" s="138"/>
    </row>
    <row r="30" spans="1:73" x14ac:dyDescent="0.2">
      <c r="A30" s="157" t="s">
        <v>138</v>
      </c>
      <c r="B30" s="158"/>
      <c r="C30" s="158"/>
      <c r="D30" s="158"/>
      <c r="E30" s="158"/>
      <c r="F30" s="158"/>
      <c r="G30" s="19" t="s">
        <v>136</v>
      </c>
      <c r="H30" s="158" t="s">
        <v>137</v>
      </c>
      <c r="I30" s="165"/>
      <c r="J30" s="157" t="s">
        <v>139</v>
      </c>
      <c r="K30" s="158"/>
      <c r="L30" s="158"/>
      <c r="M30" s="158"/>
      <c r="N30" s="158"/>
      <c r="O30" s="158"/>
      <c r="P30" s="19" t="s">
        <v>136</v>
      </c>
      <c r="Q30" s="20" t="s">
        <v>137</v>
      </c>
      <c r="R30" s="157" t="s">
        <v>140</v>
      </c>
      <c r="S30" s="158"/>
      <c r="T30" s="158"/>
      <c r="U30" s="158"/>
      <c r="V30" s="158"/>
      <c r="W30" s="158"/>
      <c r="X30" s="17" t="s">
        <v>136</v>
      </c>
      <c r="Y30" s="158" t="s">
        <v>137</v>
      </c>
      <c r="Z30" s="165"/>
      <c r="AA30" s="262" t="s">
        <v>130</v>
      </c>
      <c r="AB30" s="287"/>
      <c r="AC30" s="287"/>
      <c r="AD30" s="287"/>
      <c r="AE30" s="287"/>
      <c r="AF30" s="287"/>
      <c r="AG30" s="184"/>
      <c r="AH30" s="184"/>
      <c r="AI30" s="287" t="str">
        <f>IFERROR(IF(IFERROR(VLOOKUP($P$3,Adattábla!L:AZ,37,FALSE),0)&gt;IFERROR(VLOOKUP($P$4,Adattábla!L:AZ,37,FALSE),0),IFERROR(VLOOKUP($P$3,Adattábla!L:AZ,37,FALSE),0),IFERROR(VLOOKUP($P$4,Adattábla!L:AZ,37,FALSE),0))+IF($F$6&gt;10,$F$6-10,0)+AG30&amp;"%","")</f>
        <v/>
      </c>
      <c r="AJ30" s="328"/>
      <c r="AK30" s="130"/>
      <c r="AL30" s="131"/>
      <c r="AM30" s="131"/>
      <c r="AN30" s="131"/>
      <c r="AO30" s="131"/>
      <c r="AP30" s="131"/>
      <c r="AQ30" s="131"/>
      <c r="AR30" s="131"/>
      <c r="AS30" s="131"/>
      <c r="AT30" s="131"/>
      <c r="AU30" s="132"/>
      <c r="AV30" s="140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9"/>
      <c r="BM30" s="136"/>
      <c r="BN30" s="139"/>
      <c r="BO30" s="136"/>
      <c r="BP30" s="137"/>
      <c r="BQ30" s="137"/>
      <c r="BR30" s="137"/>
      <c r="BS30" s="137"/>
      <c r="BT30" s="137"/>
      <c r="BU30" s="138"/>
    </row>
    <row r="31" spans="1:73" x14ac:dyDescent="0.2">
      <c r="A31" s="146" t="str">
        <f ca="1">IFERROR(IF(INDIRECT($P$3&amp;"!A2")=0,"",INDIRECT($P$3&amp;"!A2")),"")</f>
        <v/>
      </c>
      <c r="B31" s="147"/>
      <c r="C31" s="147"/>
      <c r="D31" s="147"/>
      <c r="E31" s="147"/>
      <c r="F31" s="147"/>
      <c r="G31" s="21"/>
      <c r="H31" s="147" t="str">
        <f ca="1">IFERROR(IF(INDIRECT($P$3&amp;"!H2")=0,"",INDIRECT($P$3&amp;"!H2")),"")</f>
        <v/>
      </c>
      <c r="I31" s="174"/>
      <c r="J31" s="146" t="str">
        <f ca="1">IFERROR(IF(INDIRECT($P$3&amp;"!J2")=0,"",INDIRECT($P$3&amp;"!J2")),"")</f>
        <v/>
      </c>
      <c r="K31" s="147"/>
      <c r="L31" s="147"/>
      <c r="M31" s="147"/>
      <c r="N31" s="147"/>
      <c r="O31" s="147"/>
      <c r="P31" s="21"/>
      <c r="Q31" s="77" t="str">
        <f ca="1">IFERROR(IF(INDIRECT($P$3&amp;"!Q2")=0,"",INDIRECT($P$3&amp;"!Q2")),"")</f>
        <v/>
      </c>
      <c r="R31" s="146" t="str">
        <f ca="1">IFERROR(IF(INDIRECT($P$3&amp;"!R2")=0,"",INDIRECT($P$3&amp;"!R2")),"")</f>
        <v/>
      </c>
      <c r="S31" s="147"/>
      <c r="T31" s="147"/>
      <c r="U31" s="147"/>
      <c r="V31" s="147"/>
      <c r="W31" s="147"/>
      <c r="X31" s="21"/>
      <c r="Y31" s="159" t="str">
        <f ca="1">IFERROR(IF(INDIRECT($P$3&amp;"!Y2")=0,"",INDIRECT($P$3&amp;"!Y2")),"")</f>
        <v/>
      </c>
      <c r="Z31" s="160"/>
      <c r="AA31" s="262" t="s">
        <v>131</v>
      </c>
      <c r="AB31" s="287"/>
      <c r="AC31" s="287"/>
      <c r="AD31" s="287"/>
      <c r="AE31" s="287"/>
      <c r="AF31" s="287"/>
      <c r="AG31" s="184"/>
      <c r="AH31" s="184"/>
      <c r="AI31" s="287" t="str">
        <f>IFERROR(IF(IFERROR(VLOOKUP($P$3,Adattábla!L:AZ,38,FALSE),0)&gt;IFERROR(VLOOKUP($P$4,Adattábla!L:AZ,38,FALSE),0),IFERROR(VLOOKUP($P$3,Adattábla!L:AZ,38,FALSE),0),IFERROR(VLOOKUP($P$4,Adattábla!L:AZ,38,FALSE),0))+IF($F$6&gt;10,$F$6-10,0)+IF(V7="Khál",-30,0)+AG31&amp;"%","")</f>
        <v/>
      </c>
      <c r="AJ31" s="328"/>
      <c r="AK31" s="130"/>
      <c r="AL31" s="131"/>
      <c r="AM31" s="131"/>
      <c r="AN31" s="131"/>
      <c r="AO31" s="131"/>
      <c r="AP31" s="131"/>
      <c r="AQ31" s="131"/>
      <c r="AR31" s="131"/>
      <c r="AS31" s="131"/>
      <c r="AT31" s="131"/>
      <c r="AU31" s="132"/>
      <c r="AV31" s="140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9"/>
      <c r="BM31" s="136"/>
      <c r="BN31" s="139"/>
      <c r="BO31" s="136"/>
      <c r="BP31" s="137"/>
      <c r="BQ31" s="137"/>
      <c r="BR31" s="137"/>
      <c r="BS31" s="137"/>
      <c r="BT31" s="137"/>
      <c r="BU31" s="138"/>
    </row>
    <row r="32" spans="1:73" x14ac:dyDescent="0.2">
      <c r="A32" s="146" t="str">
        <f ca="1">IFERROR(IF(INDIRECT($P$3&amp;"!A3")=0,"",INDIRECT($P$3&amp;"!A3")),"")</f>
        <v/>
      </c>
      <c r="B32" s="147"/>
      <c r="C32" s="147"/>
      <c r="D32" s="147"/>
      <c r="E32" s="147"/>
      <c r="F32" s="147"/>
      <c r="G32" s="21"/>
      <c r="H32" s="147" t="str">
        <f ca="1">IFERROR(IF(INDIRECT($P$3&amp;"!H3")=0,"",INDIRECT($P$3&amp;"!H3")),"")</f>
        <v/>
      </c>
      <c r="I32" s="174"/>
      <c r="J32" s="146" t="str">
        <f ca="1">IFERROR(IF(INDIRECT($P$3&amp;"!J3")=0,"",INDIRECT($P$3&amp;"!J3")),"")</f>
        <v/>
      </c>
      <c r="K32" s="147"/>
      <c r="L32" s="147"/>
      <c r="M32" s="147"/>
      <c r="N32" s="147"/>
      <c r="O32" s="147"/>
      <c r="P32" s="21"/>
      <c r="Q32" s="77" t="str">
        <f ca="1">IFERROR(IF(INDIRECT($P$3&amp;"!Q3")=0,"",INDIRECT($P$3&amp;"!Q3")),"")</f>
        <v/>
      </c>
      <c r="R32" s="146" t="str">
        <f ca="1">IFERROR(IF(INDIRECT($P$3&amp;"!R3")=0,"",INDIRECT($P$3&amp;"!R3")),"")</f>
        <v/>
      </c>
      <c r="S32" s="147"/>
      <c r="T32" s="147"/>
      <c r="U32" s="147"/>
      <c r="V32" s="147"/>
      <c r="W32" s="147"/>
      <c r="X32" s="21"/>
      <c r="Y32" s="159" t="str">
        <f ca="1">IFERROR(IF(INDIRECT($P$3&amp;"!Y3")=0,"",INDIRECT($P$3&amp;"!Y3")),"")</f>
        <v/>
      </c>
      <c r="Z32" s="160"/>
      <c r="AA32" s="262" t="s">
        <v>132</v>
      </c>
      <c r="AB32" s="287"/>
      <c r="AC32" s="287"/>
      <c r="AD32" s="287"/>
      <c r="AE32" s="287"/>
      <c r="AF32" s="287"/>
      <c r="AG32" s="184"/>
      <c r="AH32" s="184"/>
      <c r="AI32" s="287" t="str">
        <f>IFERROR(IF(IFERROR(VLOOKUP($P$3,Adattábla!L:AZ,39,FALSE),0)&gt;IFERROR(VLOOKUP($P$4,Adattábla!L:AZ,39,FALSE),0),IFERROR(VLOOKUP($P$3,Adattábla!L:AZ,39,FALSE),0),IFERROR(VLOOKUP($P$4,Adattábla!L:AZ,39,FALSE),0))+IF($F$6&gt;10,$F$6-10,0)+IF(V7="Törpe",35,0)+IF(V7="Udvari ork",20,0)+AG32&amp;"%","")</f>
        <v/>
      </c>
      <c r="AJ32" s="328"/>
      <c r="AK32" s="130"/>
      <c r="AL32" s="131"/>
      <c r="AM32" s="131"/>
      <c r="AN32" s="131"/>
      <c r="AO32" s="131"/>
      <c r="AP32" s="131"/>
      <c r="AQ32" s="131"/>
      <c r="AR32" s="131"/>
      <c r="AS32" s="131"/>
      <c r="AT32" s="131"/>
      <c r="AU32" s="132"/>
      <c r="AV32" s="140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9"/>
      <c r="BM32" s="136"/>
      <c r="BN32" s="139"/>
      <c r="BO32" s="136"/>
      <c r="BP32" s="137"/>
      <c r="BQ32" s="137"/>
      <c r="BR32" s="137"/>
      <c r="BS32" s="137"/>
      <c r="BT32" s="137"/>
      <c r="BU32" s="138"/>
    </row>
    <row r="33" spans="1:73" x14ac:dyDescent="0.2">
      <c r="A33" s="146" t="str">
        <f ca="1">IFERROR(IF(INDIRECT($P$3&amp;"!A4")=0,"",INDIRECT($P$3&amp;"!A4")),"")</f>
        <v/>
      </c>
      <c r="B33" s="147"/>
      <c r="C33" s="147"/>
      <c r="D33" s="147"/>
      <c r="E33" s="147"/>
      <c r="F33" s="147"/>
      <c r="G33" s="21"/>
      <c r="H33" s="147" t="str">
        <f ca="1">IFERROR(IF(INDIRECT($P$3&amp;"!H4")=0,"",INDIRECT($P$3&amp;"!H4")),"")</f>
        <v/>
      </c>
      <c r="I33" s="174"/>
      <c r="J33" s="146" t="str">
        <f ca="1">IFERROR(IF(INDIRECT($P$3&amp;"!J4")=0,"",INDIRECT($P$3&amp;"!J4")),"")</f>
        <v/>
      </c>
      <c r="K33" s="147"/>
      <c r="L33" s="147"/>
      <c r="M33" s="147"/>
      <c r="N33" s="147"/>
      <c r="O33" s="147"/>
      <c r="P33" s="21"/>
      <c r="Q33" s="77" t="str">
        <f ca="1">IFERROR(IF(INDIRECT($P$3&amp;"!Q4")=0,"",INDIRECT($P$3&amp;"!Q4")),"")</f>
        <v/>
      </c>
      <c r="R33" s="146" t="str">
        <f ca="1">IFERROR(IF(INDIRECT($P$3&amp;"!R4")=0,"",INDIRECT($P$3&amp;"!R4")),"")</f>
        <v/>
      </c>
      <c r="S33" s="147"/>
      <c r="T33" s="147"/>
      <c r="U33" s="147"/>
      <c r="V33" s="147"/>
      <c r="W33" s="147"/>
      <c r="X33" s="21"/>
      <c r="Y33" s="159" t="str">
        <f ca="1">IFERROR(IF(INDIRECT($P$3&amp;"!Y4")=0,"",INDIRECT($P$3&amp;"!Y4")),"")</f>
        <v/>
      </c>
      <c r="Z33" s="160"/>
      <c r="AA33" s="262" t="s">
        <v>133</v>
      </c>
      <c r="AB33" s="287"/>
      <c r="AC33" s="287"/>
      <c r="AD33" s="287"/>
      <c r="AE33" s="287"/>
      <c r="AF33" s="287"/>
      <c r="AG33" s="184"/>
      <c r="AH33" s="184"/>
      <c r="AI33" s="287" t="str">
        <f>IFERROR(IF(IFERROR(VLOOKUP($P$3,Adattábla!L:AZ,40,FALSE),0)&gt;IFERROR(VLOOKUP($P$4,Adattábla!L:AZ,40,FALSE),0),IFERROR(VLOOKUP($P$3,Adattábla!L:AZ,40,FALSE),0),IFERROR(VLOOKUP($P$4,Adattábla!L:AZ,40,FALSE),0))+IF($F$6&gt;10,$F$6-10,0)+IF(V7="Khál",-30,0)+AG33&amp;"%","")</f>
        <v/>
      </c>
      <c r="AJ33" s="328"/>
      <c r="AK33" s="130"/>
      <c r="AL33" s="131"/>
      <c r="AM33" s="131"/>
      <c r="AN33" s="131"/>
      <c r="AO33" s="131"/>
      <c r="AP33" s="131"/>
      <c r="AQ33" s="131"/>
      <c r="AR33" s="131"/>
      <c r="AS33" s="131"/>
      <c r="AT33" s="131"/>
      <c r="AU33" s="132"/>
      <c r="AV33" s="140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9"/>
      <c r="BM33" s="136"/>
      <c r="BN33" s="139"/>
      <c r="BO33" s="136"/>
      <c r="BP33" s="137"/>
      <c r="BQ33" s="137"/>
      <c r="BR33" s="137"/>
      <c r="BS33" s="137"/>
      <c r="BT33" s="137"/>
      <c r="BU33" s="138"/>
    </row>
    <row r="34" spans="1:73" ht="16" thickBot="1" x14ac:dyDescent="0.25">
      <c r="A34" s="146" t="str">
        <f ca="1">IFERROR(IF(INDIRECT($P$3&amp;"!A5")=0,"",INDIRECT($P$3&amp;"!A5")),"")</f>
        <v/>
      </c>
      <c r="B34" s="147"/>
      <c r="C34" s="147"/>
      <c r="D34" s="147"/>
      <c r="E34" s="147"/>
      <c r="F34" s="147"/>
      <c r="G34" s="21"/>
      <c r="H34" s="147" t="str">
        <f ca="1">IFERROR(IF(INDIRECT($P$3&amp;"!H5")=0,"",INDIRECT($P$3&amp;"!H5")),"")</f>
        <v/>
      </c>
      <c r="I34" s="174"/>
      <c r="J34" s="146" t="str">
        <f ca="1">IFERROR(IF(INDIRECT($P$3&amp;"!J5")=0,"",INDIRECT($P$3&amp;"!J5")),"")</f>
        <v/>
      </c>
      <c r="K34" s="147"/>
      <c r="L34" s="147"/>
      <c r="M34" s="147"/>
      <c r="N34" s="147"/>
      <c r="O34" s="147"/>
      <c r="P34" s="21"/>
      <c r="Q34" s="77" t="str">
        <f ca="1">IFERROR(IF(INDIRECT($P$3&amp;"!Q5")=0,"",INDIRECT($P$3&amp;"!Q5")),"")</f>
        <v/>
      </c>
      <c r="R34" s="146" t="str">
        <f ca="1">IFERROR(IF(INDIRECT($P$3&amp;"!R5")=0,"",INDIRECT($P$3&amp;"!R5")),"")</f>
        <v/>
      </c>
      <c r="S34" s="147"/>
      <c r="T34" s="147"/>
      <c r="U34" s="147"/>
      <c r="V34" s="147"/>
      <c r="W34" s="147"/>
      <c r="X34" s="21"/>
      <c r="Y34" s="159" t="str">
        <f ca="1">IFERROR(IF(INDIRECT($P$3&amp;"!Y5")=0,"",INDIRECT($P$3&amp;"!Y5")),"")</f>
        <v/>
      </c>
      <c r="Z34" s="160"/>
      <c r="AA34" s="170" t="s">
        <v>134</v>
      </c>
      <c r="AB34" s="171"/>
      <c r="AC34" s="171"/>
      <c r="AD34" s="171"/>
      <c r="AE34" s="171"/>
      <c r="AF34" s="171"/>
      <c r="AG34" s="172"/>
      <c r="AH34" s="172"/>
      <c r="AI34" s="287" t="str">
        <f>IFERROR(IF(IFERROR(VLOOKUP($P$3,Adattábla!L:AZ,41,FALSE),0)&gt;IFERROR(VLOOKUP($P$4,Adattábla!L:AZ,41,FALSE),0),IFERROR(VLOOKUP($P$3,Adattábla!L:AZ,41,FALSE),0),IFERROR(VLOOKUP($P$4,Adattábla!L:AZ,41,FALSE),0))+IF($F$6&gt;10,$F$6-10,0)+IF(V7="Törpe",30,0)+IF(V7="Udvari ork",10,0)+AG34&amp;"%","")</f>
        <v/>
      </c>
      <c r="AJ34" s="328"/>
      <c r="AK34" s="130"/>
      <c r="AL34" s="131"/>
      <c r="AM34" s="131"/>
      <c r="AN34" s="131"/>
      <c r="AO34" s="131"/>
      <c r="AP34" s="131"/>
      <c r="AQ34" s="131"/>
      <c r="AR34" s="131"/>
      <c r="AS34" s="131"/>
      <c r="AT34" s="131"/>
      <c r="AU34" s="132"/>
      <c r="AV34" s="140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9"/>
      <c r="BM34" s="136"/>
      <c r="BN34" s="139"/>
      <c r="BO34" s="136"/>
      <c r="BP34" s="137"/>
      <c r="BQ34" s="137"/>
      <c r="BR34" s="137"/>
      <c r="BS34" s="137"/>
      <c r="BT34" s="137"/>
      <c r="BU34" s="138"/>
    </row>
    <row r="35" spans="1:73" x14ac:dyDescent="0.2">
      <c r="A35" s="146" t="str">
        <f ca="1">IFERROR(IF(INDIRECT($P$3&amp;"!A6")=0,"",INDIRECT($P$3&amp;"!A6")),"")</f>
        <v/>
      </c>
      <c r="B35" s="147"/>
      <c r="C35" s="147"/>
      <c r="D35" s="147"/>
      <c r="E35" s="147"/>
      <c r="F35" s="147"/>
      <c r="G35" s="21"/>
      <c r="H35" s="147" t="str">
        <f ca="1">IFERROR(IF(INDIRECT($P$3&amp;"!H6")=0,"",INDIRECT($P$3&amp;"!H6")),"")</f>
        <v/>
      </c>
      <c r="I35" s="174"/>
      <c r="J35" s="146" t="str">
        <f ca="1">IFERROR(IF(INDIRECT($P$3&amp;"!J6")=0,"",INDIRECT($P$3&amp;"!J6")),"")</f>
        <v/>
      </c>
      <c r="K35" s="147"/>
      <c r="L35" s="147"/>
      <c r="M35" s="147"/>
      <c r="N35" s="147"/>
      <c r="O35" s="147"/>
      <c r="P35" s="21"/>
      <c r="Q35" s="77" t="str">
        <f ca="1">IFERROR(IF(INDIRECT($P$3&amp;"!Q6")=0,"",INDIRECT($P$3&amp;"!Q6")),"")</f>
        <v/>
      </c>
      <c r="R35" s="146" t="str">
        <f ca="1">IFERROR(IF(INDIRECT($P$3&amp;"!R6")=0,"",INDIRECT($P$3&amp;"!R6")),"")</f>
        <v/>
      </c>
      <c r="S35" s="147"/>
      <c r="T35" s="147"/>
      <c r="U35" s="147"/>
      <c r="V35" s="147"/>
      <c r="W35" s="147"/>
      <c r="X35" s="21"/>
      <c r="Y35" s="159" t="str">
        <f ca="1">IFERROR(IF(INDIRECT($P$3&amp;"!Y6")=0,"",INDIRECT($P$3&amp;"!Y6")),"")</f>
        <v/>
      </c>
      <c r="Z35" s="160"/>
      <c r="AA35" s="176" t="s">
        <v>853</v>
      </c>
      <c r="AB35" s="177"/>
      <c r="AC35" s="177"/>
      <c r="AD35" s="177"/>
      <c r="AE35" s="177"/>
      <c r="AF35" s="177"/>
      <c r="AG35" s="177"/>
      <c r="AH35" s="18" t="s">
        <v>136</v>
      </c>
      <c r="AI35" s="177" t="s">
        <v>137</v>
      </c>
      <c r="AJ35" s="178"/>
      <c r="AK35" s="130"/>
      <c r="AL35" s="131"/>
      <c r="AM35" s="131"/>
      <c r="AN35" s="131"/>
      <c r="AO35" s="131"/>
      <c r="AP35" s="131"/>
      <c r="AQ35" s="131"/>
      <c r="AR35" s="131"/>
      <c r="AS35" s="131"/>
      <c r="AT35" s="131"/>
      <c r="AU35" s="132"/>
      <c r="AV35" s="140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9"/>
      <c r="BM35" s="136"/>
      <c r="BN35" s="139"/>
      <c r="BO35" s="136"/>
      <c r="BP35" s="137"/>
      <c r="BQ35" s="137"/>
      <c r="BR35" s="137"/>
      <c r="BS35" s="137"/>
      <c r="BT35" s="137"/>
      <c r="BU35" s="138"/>
    </row>
    <row r="36" spans="1:73" x14ac:dyDescent="0.2">
      <c r="A36" s="146" t="str">
        <f ca="1">IFERROR(IF(INDIRECT($P$3&amp;"!A7")=0,"",INDIRECT($P$3&amp;"!A7")),"")</f>
        <v/>
      </c>
      <c r="B36" s="147"/>
      <c r="C36" s="147"/>
      <c r="D36" s="147"/>
      <c r="E36" s="147"/>
      <c r="F36" s="147"/>
      <c r="G36" s="21"/>
      <c r="H36" s="147" t="str">
        <f ca="1">IFERROR(IF(INDIRECT($P$3&amp;"!H7")=0,"",INDIRECT($P$3&amp;"!H7")),"")</f>
        <v/>
      </c>
      <c r="I36" s="174"/>
      <c r="J36" s="146" t="str">
        <f ca="1">IFERROR(IF(INDIRECT($P$3&amp;"!J7")=0,"",INDIRECT($P$3&amp;"!J7")),"")</f>
        <v/>
      </c>
      <c r="K36" s="147"/>
      <c r="L36" s="147"/>
      <c r="M36" s="147"/>
      <c r="N36" s="147"/>
      <c r="O36" s="147"/>
      <c r="P36" s="21"/>
      <c r="Q36" s="77" t="str">
        <f ca="1">IFERROR(IF(INDIRECT($P$3&amp;"!Q7")=0,"",INDIRECT($P$3&amp;"!Q7")),"")</f>
        <v/>
      </c>
      <c r="R36" s="146" t="str">
        <f ca="1">IFERROR(IF(INDIRECT($P$3&amp;"!R7")=0,"",INDIRECT($P$3&amp;"!R7")),"")</f>
        <v/>
      </c>
      <c r="S36" s="147"/>
      <c r="T36" s="147"/>
      <c r="U36" s="147"/>
      <c r="V36" s="147"/>
      <c r="W36" s="147"/>
      <c r="X36" s="21"/>
      <c r="Y36" s="159" t="str">
        <f ca="1">IFERROR(IF(INDIRECT($P$3&amp;"!Y7")=0,"",INDIRECT($P$3&amp;"!Y7")),"")</f>
        <v/>
      </c>
      <c r="Z36" s="160"/>
      <c r="AA36" s="146" t="str">
        <f ca="1">IFERROR(IF(INDIRECT($P$3&amp;"!AA2")=0,"",INDIRECT($P$3&amp;"!AA2")),"")</f>
        <v/>
      </c>
      <c r="AB36" s="147"/>
      <c r="AC36" s="147"/>
      <c r="AD36" s="147"/>
      <c r="AE36" s="147"/>
      <c r="AF36" s="147"/>
      <c r="AG36" s="147"/>
      <c r="AH36" s="21"/>
      <c r="AI36" s="147" t="str">
        <f ca="1">IFERROR(IF(INDIRECT($P$3&amp;"!AI2")=0,"",INDIRECT($P$3&amp;"!AI2")),"")</f>
        <v/>
      </c>
      <c r="AJ36" s="174"/>
      <c r="AK36" s="130"/>
      <c r="AL36" s="131"/>
      <c r="AM36" s="131"/>
      <c r="AN36" s="131"/>
      <c r="AO36" s="131"/>
      <c r="AP36" s="131"/>
      <c r="AQ36" s="131"/>
      <c r="AR36" s="131"/>
      <c r="AS36" s="131"/>
      <c r="AT36" s="131"/>
      <c r="AU36" s="132"/>
      <c r="AV36" s="140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9"/>
      <c r="BM36" s="136"/>
      <c r="BN36" s="139"/>
      <c r="BO36" s="136"/>
      <c r="BP36" s="137"/>
      <c r="BQ36" s="137"/>
      <c r="BR36" s="137"/>
      <c r="BS36" s="137"/>
      <c r="BT36" s="137"/>
      <c r="BU36" s="138"/>
    </row>
    <row r="37" spans="1:73" x14ac:dyDescent="0.2">
      <c r="A37" s="146" t="str">
        <f ca="1">IFERROR(IF(INDIRECT($P$3&amp;"!A8")=0,"",INDIRECT($P$3&amp;"!A8")),"")</f>
        <v/>
      </c>
      <c r="B37" s="147"/>
      <c r="C37" s="147"/>
      <c r="D37" s="147"/>
      <c r="E37" s="147"/>
      <c r="F37" s="147"/>
      <c r="G37" s="21"/>
      <c r="H37" s="147" t="str">
        <f ca="1">IFERROR(IF(INDIRECT($P$3&amp;"!H8")=0,"",INDIRECT($P$3&amp;"!H8")),"")</f>
        <v/>
      </c>
      <c r="I37" s="174"/>
      <c r="J37" s="146" t="str">
        <f ca="1">IFERROR(IF(INDIRECT($P$3&amp;"!J8")=0,"",INDIRECT($P$3&amp;"!J8")),"")</f>
        <v/>
      </c>
      <c r="K37" s="147"/>
      <c r="L37" s="147"/>
      <c r="M37" s="147"/>
      <c r="N37" s="147"/>
      <c r="O37" s="147"/>
      <c r="P37" s="21"/>
      <c r="Q37" s="83" t="str">
        <f ca="1">IFERROR(IF(INDIRECT($P$3&amp;"!Q8")=0,"",INDIRECT($P$3&amp;"!Q8")),"")</f>
        <v/>
      </c>
      <c r="R37" s="146" t="str">
        <f ca="1">IFERROR(IF(INDIRECT($P$3&amp;"!R8")=0,"",INDIRECT($P$3&amp;"!R8")),"")</f>
        <v/>
      </c>
      <c r="S37" s="147"/>
      <c r="T37" s="147"/>
      <c r="U37" s="147"/>
      <c r="V37" s="147"/>
      <c r="W37" s="147"/>
      <c r="X37" s="21"/>
      <c r="Y37" s="159" t="str">
        <f ca="1">IFERROR(IF(INDIRECT($P$3&amp;"!Y8")=0,"",INDIRECT($P$3&amp;"!Y8")),"")</f>
        <v/>
      </c>
      <c r="Z37" s="160"/>
      <c r="AA37" s="166" t="str">
        <f ca="1">IFERROR(IF(INDIRECT($P$3&amp;"!AA3")=0,"",INDIRECT($P$3&amp;"!AA3")),"")</f>
        <v/>
      </c>
      <c r="AB37" s="167"/>
      <c r="AC37" s="167"/>
      <c r="AD37" s="167"/>
      <c r="AE37" s="167"/>
      <c r="AF37" s="167"/>
      <c r="AG37" s="167"/>
      <c r="AH37" s="21"/>
      <c r="AI37" s="147" t="str">
        <f ca="1">IFERROR(IF(INDIRECT($P$3&amp;"!AI3")=0,"",INDIRECT($P$3&amp;"!AI3")),"")</f>
        <v/>
      </c>
      <c r="AJ37" s="174"/>
      <c r="AK37" s="130"/>
      <c r="AL37" s="131"/>
      <c r="AM37" s="131"/>
      <c r="AN37" s="131"/>
      <c r="AO37" s="131"/>
      <c r="AP37" s="131"/>
      <c r="AQ37" s="131"/>
      <c r="AR37" s="131"/>
      <c r="AS37" s="131"/>
      <c r="AT37" s="131"/>
      <c r="AU37" s="132"/>
      <c r="AV37" s="140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9"/>
      <c r="BM37" s="136"/>
      <c r="BN37" s="139"/>
      <c r="BO37" s="136"/>
      <c r="BP37" s="137"/>
      <c r="BQ37" s="137"/>
      <c r="BR37" s="137"/>
      <c r="BS37" s="137"/>
      <c r="BT37" s="137"/>
      <c r="BU37" s="138"/>
    </row>
    <row r="38" spans="1:73" x14ac:dyDescent="0.2">
      <c r="A38" s="146" t="str">
        <f ca="1">IFERROR(IF(INDIRECT($P$3&amp;"!A9")=0,"",INDIRECT($P$3&amp;"!A9")),"")</f>
        <v/>
      </c>
      <c r="B38" s="147"/>
      <c r="C38" s="147"/>
      <c r="D38" s="147"/>
      <c r="E38" s="147"/>
      <c r="F38" s="147"/>
      <c r="G38" s="21"/>
      <c r="H38" s="147" t="str">
        <f ca="1">IFERROR(IF(INDIRECT($P$3&amp;"!H9")=0,"",INDIRECT($P$3&amp;"!H9")),"")</f>
        <v/>
      </c>
      <c r="I38" s="174"/>
      <c r="J38" s="146" t="str">
        <f ca="1">IFERROR(IF(INDIRECT($P$3&amp;"!J9")=0,"",INDIRECT($P$3&amp;"!J9")),"")</f>
        <v/>
      </c>
      <c r="K38" s="147"/>
      <c r="L38" s="147"/>
      <c r="M38" s="147"/>
      <c r="N38" s="147"/>
      <c r="O38" s="147"/>
      <c r="P38" s="21"/>
      <c r="Q38" s="77" t="str">
        <f ca="1">IFERROR(IF(INDIRECT($P$3&amp;"!Q9")=0,"",INDIRECT($P$3&amp;"!Q9")),"")</f>
        <v/>
      </c>
      <c r="R38" s="146" t="str">
        <f ca="1">IFERROR(IF(INDIRECT($P$3&amp;"!R9")=0,"",INDIRECT($P$3&amp;"!R9")),"")</f>
        <v/>
      </c>
      <c r="S38" s="147"/>
      <c r="T38" s="147"/>
      <c r="U38" s="147"/>
      <c r="V38" s="147"/>
      <c r="W38" s="147"/>
      <c r="X38" s="21"/>
      <c r="Y38" s="159" t="str">
        <f ca="1">IFERROR(IF(INDIRECT($P$3&amp;"!Y9")=0,"",INDIRECT($P$3&amp;"!Y9")),"")</f>
        <v/>
      </c>
      <c r="Z38" s="160"/>
      <c r="AA38" s="168" t="str">
        <f ca="1">IFERROR(IF(INDIRECT($P$3&amp;"!AA4")=0,"",INDIRECT($P$3&amp;"!AA4")),"")</f>
        <v/>
      </c>
      <c r="AB38" s="147"/>
      <c r="AC38" s="147"/>
      <c r="AD38" s="147"/>
      <c r="AE38" s="147"/>
      <c r="AF38" s="147"/>
      <c r="AG38" s="147"/>
      <c r="AH38" s="21"/>
      <c r="AI38" s="147" t="str">
        <f ca="1">IFERROR(IF(INDIRECT($P$3&amp;"!AI4")=0,"",INDIRECT($P$3&amp;"!AI4")),"")</f>
        <v/>
      </c>
      <c r="AJ38" s="174"/>
      <c r="AK38" s="130"/>
      <c r="AL38" s="131"/>
      <c r="AM38" s="131"/>
      <c r="AN38" s="131"/>
      <c r="AO38" s="131"/>
      <c r="AP38" s="131"/>
      <c r="AQ38" s="131"/>
      <c r="AR38" s="131"/>
      <c r="AS38" s="131"/>
      <c r="AT38" s="131"/>
      <c r="AU38" s="132"/>
      <c r="AV38" s="140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9"/>
      <c r="BM38" s="136"/>
      <c r="BN38" s="139"/>
      <c r="BO38" s="136"/>
      <c r="BP38" s="137"/>
      <c r="BQ38" s="137"/>
      <c r="BR38" s="137"/>
      <c r="BS38" s="137"/>
      <c r="BT38" s="137"/>
      <c r="BU38" s="138"/>
    </row>
    <row r="39" spans="1:73" x14ac:dyDescent="0.2">
      <c r="A39" s="146" t="str">
        <f ca="1">IFERROR(IF(INDIRECT($P$3&amp;"!A10")=0,"",INDIRECT($P$3&amp;"!A10")),"")</f>
        <v/>
      </c>
      <c r="B39" s="147"/>
      <c r="C39" s="147"/>
      <c r="D39" s="147"/>
      <c r="E39" s="147"/>
      <c r="F39" s="147"/>
      <c r="G39" s="21"/>
      <c r="H39" s="147" t="str">
        <f ca="1">IFERROR(IF(INDIRECT($P$3&amp;"!H10")=0,"",INDIRECT($P$3&amp;"!H10")),"")</f>
        <v/>
      </c>
      <c r="I39" s="174"/>
      <c r="J39" s="146" t="str">
        <f ca="1">IFERROR(IF(INDIRECT($P$3&amp;"!J10")=0,"",INDIRECT($P$3&amp;"!J10")),"")</f>
        <v/>
      </c>
      <c r="K39" s="147"/>
      <c r="L39" s="147"/>
      <c r="M39" s="147"/>
      <c r="N39" s="147"/>
      <c r="O39" s="147"/>
      <c r="P39" s="21"/>
      <c r="Q39" s="77" t="str">
        <f ca="1">IFERROR(IF(INDIRECT($P$3&amp;"!Q10")=0,"",INDIRECT($P$3&amp;"!Q10")),"")</f>
        <v/>
      </c>
      <c r="R39" s="146" t="str">
        <f ca="1">IFERROR(IF(INDIRECT($P$3&amp;"!R10")=0,"",INDIRECT($P$3&amp;"!R10")),"")</f>
        <v/>
      </c>
      <c r="S39" s="147"/>
      <c r="T39" s="147"/>
      <c r="U39" s="147"/>
      <c r="V39" s="147"/>
      <c r="W39" s="147"/>
      <c r="X39" s="21"/>
      <c r="Y39" s="159" t="str">
        <f ca="1">IFERROR(IF(INDIRECT($P$3&amp;"!Y10")=0,"",INDIRECT($P$3&amp;"!Y10")),"")</f>
        <v/>
      </c>
      <c r="Z39" s="160"/>
      <c r="AA39" s="168" t="str">
        <f ca="1">IFERROR(IF(INDIRECT($P$3&amp;"!AA5")=0,"",INDIRECT($P$3&amp;"!AA5")),"")</f>
        <v/>
      </c>
      <c r="AB39" s="147"/>
      <c r="AC39" s="147"/>
      <c r="AD39" s="147"/>
      <c r="AE39" s="147"/>
      <c r="AF39" s="147"/>
      <c r="AG39" s="147"/>
      <c r="AH39" s="21"/>
      <c r="AI39" s="147" t="str">
        <f ca="1">IFERROR(IF(INDIRECT($P$3&amp;"!AI5")=0,"",INDIRECT($P$3&amp;"!AI5")),"")</f>
        <v/>
      </c>
      <c r="AJ39" s="174"/>
      <c r="AK39" s="130"/>
      <c r="AL39" s="131"/>
      <c r="AM39" s="131"/>
      <c r="AN39" s="131"/>
      <c r="AO39" s="131"/>
      <c r="AP39" s="131"/>
      <c r="AQ39" s="131"/>
      <c r="AR39" s="131"/>
      <c r="AS39" s="131"/>
      <c r="AT39" s="131"/>
      <c r="AU39" s="132"/>
      <c r="AV39" s="140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9"/>
      <c r="BM39" s="136"/>
      <c r="BN39" s="139"/>
      <c r="BO39" s="136"/>
      <c r="BP39" s="137"/>
      <c r="BQ39" s="137"/>
      <c r="BR39" s="137"/>
      <c r="BS39" s="137"/>
      <c r="BT39" s="137"/>
      <c r="BU39" s="138"/>
    </row>
    <row r="40" spans="1:73" x14ac:dyDescent="0.2">
      <c r="A40" s="146" t="str">
        <f ca="1">IFERROR(IF(INDIRECT($P$3&amp;"!A11")=0,"",INDIRECT($P$3&amp;"!A11")),"")</f>
        <v/>
      </c>
      <c r="B40" s="147"/>
      <c r="C40" s="147"/>
      <c r="D40" s="147"/>
      <c r="E40" s="147"/>
      <c r="F40" s="147"/>
      <c r="G40" s="21" t="str">
        <f ca="1">IFERROR(IF(INDIRECT($P$3&amp;"!G11")=0,"",INDIRECT($P$3&amp;"!G11")),"")</f>
        <v/>
      </c>
      <c r="H40" s="147" t="str">
        <f ca="1">IFERROR(IF(INDIRECT($P$3&amp;"!H11")=0,"",INDIRECT($P$3&amp;"!H11")),"")</f>
        <v/>
      </c>
      <c r="I40" s="174"/>
      <c r="J40" s="146" t="str">
        <f ca="1">IFERROR(IF(INDIRECT($P$3&amp;"!J11")=0,"",INDIRECT($P$3&amp;"!J11")),"")</f>
        <v/>
      </c>
      <c r="K40" s="147"/>
      <c r="L40" s="147"/>
      <c r="M40" s="147"/>
      <c r="N40" s="147"/>
      <c r="O40" s="147"/>
      <c r="P40" s="21" t="str">
        <f ca="1">IFERROR(IF(INDIRECT($P$3&amp;"!P11")=0,"",INDIRECT($P$3&amp;"!P11")),"")</f>
        <v/>
      </c>
      <c r="Q40" s="77" t="str">
        <f ca="1">IFERROR(IF(INDIRECT($P$3&amp;"!Q11")=0,"",INDIRECT($P$3&amp;"!Q11")),"")</f>
        <v/>
      </c>
      <c r="R40" s="146" t="str">
        <f ca="1">IFERROR(IF(INDIRECT($P$3&amp;"!R11")=0,"",INDIRECT($P$3&amp;"!R11")),"")</f>
        <v/>
      </c>
      <c r="S40" s="147"/>
      <c r="T40" s="147"/>
      <c r="U40" s="147"/>
      <c r="V40" s="147"/>
      <c r="W40" s="147"/>
      <c r="X40" s="21" t="str">
        <f ca="1">IFERROR(IF(INDIRECT($P$3&amp;"!X11")=0,"",INDIRECT($P$3&amp;"!X11")),"")</f>
        <v/>
      </c>
      <c r="Y40" s="159" t="str">
        <f ca="1">IFERROR(IF(INDIRECT($P$3&amp;"!Y11")=0,"",INDIRECT($P$3&amp;"!Y11")),"")</f>
        <v/>
      </c>
      <c r="Z40" s="160"/>
      <c r="AA40" s="168" t="str">
        <f ca="1">IFERROR(IF(INDIRECT($P$3&amp;"!AA6")=0,"",INDIRECT($P$3&amp;"!AA6")),"")</f>
        <v/>
      </c>
      <c r="AB40" s="147"/>
      <c r="AC40" s="147"/>
      <c r="AD40" s="147"/>
      <c r="AE40" s="147"/>
      <c r="AF40" s="147"/>
      <c r="AG40" s="147"/>
      <c r="AH40" s="21"/>
      <c r="AI40" s="147" t="str">
        <f ca="1">IFERROR(IF(INDIRECT($P$3&amp;"!AI6")=0,"",INDIRECT($P$3&amp;"!AI6")),"")</f>
        <v/>
      </c>
      <c r="AJ40" s="174"/>
      <c r="AK40" s="130"/>
      <c r="AL40" s="131"/>
      <c r="AM40" s="131"/>
      <c r="AN40" s="131"/>
      <c r="AO40" s="131"/>
      <c r="AP40" s="131"/>
      <c r="AQ40" s="131"/>
      <c r="AR40" s="131"/>
      <c r="AS40" s="131"/>
      <c r="AT40" s="131"/>
      <c r="AU40" s="132"/>
      <c r="AV40" s="140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9"/>
      <c r="BM40" s="136"/>
      <c r="BN40" s="139"/>
      <c r="BO40" s="136"/>
      <c r="BP40" s="137"/>
      <c r="BQ40" s="137"/>
      <c r="BR40" s="137"/>
      <c r="BS40" s="137"/>
      <c r="BT40" s="137"/>
      <c r="BU40" s="138"/>
    </row>
    <row r="41" spans="1:73" x14ac:dyDescent="0.2">
      <c r="A41" s="163" t="str">
        <f ca="1">IFERROR(IF(INDIRECT($P$3&amp;"!A12")=0,"",INDIRECT($P$3&amp;"!A12")),"")</f>
        <v/>
      </c>
      <c r="B41" s="164"/>
      <c r="C41" s="164"/>
      <c r="D41" s="164"/>
      <c r="E41" s="164"/>
      <c r="F41" s="164"/>
      <c r="G41" s="80"/>
      <c r="H41" s="164" t="str">
        <f ca="1">IFERROR(IF(INDIRECT($P$3&amp;"!H12")=0,"",INDIRECT($P$3&amp;"!H12")),"")</f>
        <v/>
      </c>
      <c r="I41" s="175"/>
      <c r="J41" s="163" t="str">
        <f ca="1">IFERROR(IF(INDIRECT($P$3&amp;"!J12")=0,"",INDIRECT($P$3&amp;"!J12")),"")</f>
        <v/>
      </c>
      <c r="K41" s="164"/>
      <c r="L41" s="164"/>
      <c r="M41" s="164"/>
      <c r="N41" s="164"/>
      <c r="O41" s="164"/>
      <c r="P41" s="80"/>
      <c r="Q41" s="81" t="str">
        <f ca="1">IFERROR(IF(INDIRECT($P$3&amp;"!Q12")=0,"",INDIRECT($P$3&amp;"!Q12")),"")</f>
        <v/>
      </c>
      <c r="R41" s="163" t="str">
        <f ca="1">IFERROR(IF(INDIRECT($P$3&amp;"!R12")=0,"",INDIRECT($P$3&amp;"!R12")),"")</f>
        <v/>
      </c>
      <c r="S41" s="164"/>
      <c r="T41" s="164"/>
      <c r="U41" s="164"/>
      <c r="V41" s="164"/>
      <c r="W41" s="164"/>
      <c r="X41" s="21"/>
      <c r="Y41" s="159" t="str">
        <f ca="1">IFERROR(IF(INDIRECT($P$3&amp;"!Y12")=0,"",INDIRECT($P$3&amp;"!Y12")),"")</f>
        <v/>
      </c>
      <c r="Z41" s="160"/>
      <c r="AA41" s="168" t="str">
        <f ca="1">IFERROR(IF(INDIRECT($P$3&amp;"!AA7")=0,"",INDIRECT($P$3&amp;"!AA7")),"")</f>
        <v/>
      </c>
      <c r="AB41" s="147"/>
      <c r="AC41" s="147"/>
      <c r="AD41" s="147"/>
      <c r="AE41" s="147"/>
      <c r="AF41" s="147"/>
      <c r="AG41" s="147"/>
      <c r="AH41" s="21"/>
      <c r="AI41" s="147" t="str">
        <f ca="1">IFERROR(IF(INDIRECT($P$3&amp;"!AI7")=0,"",INDIRECT($P$3&amp;"!AI7")),"")</f>
        <v/>
      </c>
      <c r="AJ41" s="174"/>
      <c r="AK41" s="130"/>
      <c r="AL41" s="131"/>
      <c r="AM41" s="131"/>
      <c r="AN41" s="131"/>
      <c r="AO41" s="131"/>
      <c r="AP41" s="131"/>
      <c r="AQ41" s="131"/>
      <c r="AR41" s="131"/>
      <c r="AS41" s="131"/>
      <c r="AT41" s="131"/>
      <c r="AU41" s="132"/>
      <c r="AV41" s="140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9"/>
      <c r="BM41" s="136"/>
      <c r="BN41" s="139"/>
      <c r="BO41" s="136"/>
      <c r="BP41" s="137"/>
      <c r="BQ41" s="137"/>
      <c r="BR41" s="137"/>
      <c r="BS41" s="137"/>
      <c r="BT41" s="137"/>
      <c r="BU41" s="138"/>
    </row>
    <row r="42" spans="1:73" x14ac:dyDescent="0.2">
      <c r="A42" s="146" t="str">
        <f ca="1">IFERROR(IF(INDIRECT($P$3&amp;"!A13")=0,"",INDIRECT($P$3&amp;"!A13")),"")</f>
        <v/>
      </c>
      <c r="B42" s="147"/>
      <c r="C42" s="147"/>
      <c r="D42" s="147"/>
      <c r="E42" s="147"/>
      <c r="F42" s="147"/>
      <c r="G42" s="21"/>
      <c r="H42" s="147" t="str">
        <f ca="1">IFERROR(IF(INDIRECT($P$3&amp;"!H13")=0,"",INDIRECT($P$3&amp;"!H13")),"")</f>
        <v/>
      </c>
      <c r="I42" s="174"/>
      <c r="J42" s="146" t="str">
        <f ca="1">IFERROR(IF(INDIRECT($P$3&amp;"!J13")=0,"",INDIRECT($P$3&amp;"!J13")),"")</f>
        <v/>
      </c>
      <c r="K42" s="147"/>
      <c r="L42" s="147"/>
      <c r="M42" s="147"/>
      <c r="N42" s="147"/>
      <c r="O42" s="147"/>
      <c r="P42" s="21"/>
      <c r="Q42" s="77" t="str">
        <f ca="1">IFERROR(IF(INDIRECT($P$3&amp;"!Q13")=0,"",INDIRECT($P$3&amp;"!Q13")),"")</f>
        <v/>
      </c>
      <c r="R42" s="146" t="str">
        <f ca="1">IFERROR(IF(INDIRECT($P$3&amp;"!R13")=0,"",INDIRECT($P$3&amp;"!R13")),"")</f>
        <v/>
      </c>
      <c r="S42" s="147"/>
      <c r="T42" s="147"/>
      <c r="U42" s="147"/>
      <c r="V42" s="147"/>
      <c r="W42" s="147"/>
      <c r="X42" s="21"/>
      <c r="Y42" s="159" t="str">
        <f ca="1">IFERROR(IF(INDIRECT($P$3&amp;"!Y13")=0,"",INDIRECT($P$3&amp;"!Y13")),"")</f>
        <v/>
      </c>
      <c r="Z42" s="160"/>
      <c r="AA42" s="146" t="str">
        <f ca="1">IFERROR(IF(INDIRECT($P$3&amp;"!AA8")=0,"",INDIRECT($P$3&amp;"!AA8")),"")</f>
        <v/>
      </c>
      <c r="AB42" s="147"/>
      <c r="AC42" s="147"/>
      <c r="AD42" s="147"/>
      <c r="AE42" s="147"/>
      <c r="AF42" s="147"/>
      <c r="AG42" s="147"/>
      <c r="AH42" s="21"/>
      <c r="AI42" s="147" t="str">
        <f ca="1">IFERROR(IF(INDIRECT($P$3&amp;"!AI8")=0,"",INDIRECT($P$3&amp;"!AI8")),"")</f>
        <v/>
      </c>
      <c r="AJ42" s="174"/>
      <c r="AK42" s="130"/>
      <c r="AL42" s="131"/>
      <c r="AM42" s="131"/>
      <c r="AN42" s="131"/>
      <c r="AO42" s="131"/>
      <c r="AP42" s="131"/>
      <c r="AQ42" s="131"/>
      <c r="AR42" s="131"/>
      <c r="AS42" s="131"/>
      <c r="AT42" s="131"/>
      <c r="AU42" s="132"/>
      <c r="AV42" s="140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9"/>
      <c r="BM42" s="136"/>
      <c r="BN42" s="139"/>
      <c r="BO42" s="136"/>
      <c r="BP42" s="137"/>
      <c r="BQ42" s="137"/>
      <c r="BR42" s="137"/>
      <c r="BS42" s="137"/>
      <c r="BT42" s="137"/>
      <c r="BU42" s="138"/>
    </row>
    <row r="43" spans="1:73" x14ac:dyDescent="0.2">
      <c r="A43" s="146" t="str">
        <f ca="1">IFERROR(IF(INDIRECT($P$3&amp;"!A14")=0,"",INDIRECT($P$3&amp;"!A14")),"")</f>
        <v/>
      </c>
      <c r="B43" s="147"/>
      <c r="C43" s="147"/>
      <c r="D43" s="147"/>
      <c r="E43" s="147"/>
      <c r="F43" s="147"/>
      <c r="G43" s="21"/>
      <c r="H43" s="147" t="str">
        <f ca="1">IFERROR(IF(INDIRECT($P$3&amp;"!H14")=0,"",INDIRECT($P$3&amp;"!H14")),"")</f>
        <v/>
      </c>
      <c r="I43" s="174"/>
      <c r="J43" s="146" t="str">
        <f ca="1">IFERROR(IF(INDIRECT($P$3&amp;"!J14")=0,"",INDIRECT($P$3&amp;"!J14")),"")</f>
        <v/>
      </c>
      <c r="K43" s="147"/>
      <c r="L43" s="147"/>
      <c r="M43" s="147"/>
      <c r="N43" s="147"/>
      <c r="O43" s="147"/>
      <c r="P43" s="21"/>
      <c r="Q43" s="77" t="str">
        <f ca="1">IFERROR(IF(INDIRECT($P$3&amp;"!Q14")=0,"",INDIRECT($P$3&amp;"!Q14")),"")</f>
        <v/>
      </c>
      <c r="R43" s="146" t="str">
        <f ca="1">IFERROR(IF(INDIRECT($P$3&amp;"!R14")=0,"",INDIRECT($P$3&amp;"!R14")),"")</f>
        <v/>
      </c>
      <c r="S43" s="147"/>
      <c r="T43" s="147"/>
      <c r="U43" s="147"/>
      <c r="V43" s="147"/>
      <c r="W43" s="147"/>
      <c r="X43" s="21"/>
      <c r="Y43" s="159" t="str">
        <f ca="1">IFERROR(IF(INDIRECT($P$3&amp;"!Y14")=0,"",INDIRECT($P$3&amp;"!Y14")),"")</f>
        <v/>
      </c>
      <c r="Z43" s="160"/>
      <c r="AA43" s="146" t="str">
        <f ca="1">IFERROR(IF(INDIRECT($P$3&amp;"!AA9")=0,"",INDIRECT($P$3&amp;"!AA9")),"")</f>
        <v/>
      </c>
      <c r="AB43" s="147"/>
      <c r="AC43" s="147"/>
      <c r="AD43" s="147"/>
      <c r="AE43" s="147"/>
      <c r="AF43" s="147"/>
      <c r="AG43" s="147"/>
      <c r="AH43" s="21"/>
      <c r="AI43" s="147" t="str">
        <f ca="1">IFERROR(IF(INDIRECT($P$3&amp;"!AI9")=0,"",INDIRECT($P$3&amp;"!AI9")),"")</f>
        <v/>
      </c>
      <c r="AJ43" s="174"/>
      <c r="AK43" s="130"/>
      <c r="AL43" s="131"/>
      <c r="AM43" s="131"/>
      <c r="AN43" s="131"/>
      <c r="AO43" s="131"/>
      <c r="AP43" s="131"/>
      <c r="AQ43" s="131"/>
      <c r="AR43" s="131"/>
      <c r="AS43" s="131"/>
      <c r="AT43" s="131"/>
      <c r="AU43" s="132"/>
      <c r="AV43" s="140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9"/>
      <c r="BM43" s="136"/>
      <c r="BN43" s="139"/>
      <c r="BO43" s="136"/>
      <c r="BP43" s="137"/>
      <c r="BQ43" s="137"/>
      <c r="BR43" s="137"/>
      <c r="BS43" s="137"/>
      <c r="BT43" s="137"/>
      <c r="BU43" s="138"/>
    </row>
    <row r="44" spans="1:73" x14ac:dyDescent="0.2">
      <c r="A44" s="146" t="str">
        <f ca="1">IFERROR(IF(INDIRECT($P$3&amp;"!A15")=0,"",INDIRECT($P$3&amp;"!A15")),"")</f>
        <v/>
      </c>
      <c r="B44" s="147"/>
      <c r="C44" s="147"/>
      <c r="D44" s="147"/>
      <c r="E44" s="147"/>
      <c r="F44" s="147"/>
      <c r="G44" s="21"/>
      <c r="H44" s="147" t="str">
        <f ca="1">IFERROR(IF(INDIRECT($P$3&amp;"!H15")=0,"",INDIRECT($P$3&amp;"!H15")),"")</f>
        <v/>
      </c>
      <c r="I44" s="174"/>
      <c r="J44" s="146" t="str">
        <f ca="1">IFERROR(IF(INDIRECT($P$3&amp;"!J15")=0,"",INDIRECT($P$3&amp;"!J15")),"")</f>
        <v/>
      </c>
      <c r="K44" s="147"/>
      <c r="L44" s="147"/>
      <c r="M44" s="147"/>
      <c r="N44" s="147"/>
      <c r="O44" s="147"/>
      <c r="P44" s="21"/>
      <c r="Q44" s="77" t="str">
        <f ca="1">IFERROR(IF(INDIRECT($P$3&amp;"!Q15")=0,"",INDIRECT($P$3&amp;"!Q15")),"")</f>
        <v/>
      </c>
      <c r="R44" s="146" t="str">
        <f ca="1">IFERROR(IF(INDIRECT($P$3&amp;"!R15")=0,"",INDIRECT($P$3&amp;"!R15")),"")</f>
        <v/>
      </c>
      <c r="S44" s="147"/>
      <c r="T44" s="147"/>
      <c r="U44" s="147"/>
      <c r="V44" s="147"/>
      <c r="W44" s="147"/>
      <c r="X44" s="21"/>
      <c r="Y44" s="159" t="str">
        <f ca="1">IFERROR(IF(INDIRECT($P$3&amp;"!Y15")=0,"",INDIRECT($P$3&amp;"!Y15")),"")</f>
        <v/>
      </c>
      <c r="Z44" s="160"/>
      <c r="AA44" s="166" t="str">
        <f ca="1">IFERROR(IF(INDIRECT($P$3&amp;"!AA10")=0,"",INDIRECT($P$3&amp;"!AA10")),"")</f>
        <v/>
      </c>
      <c r="AB44" s="167"/>
      <c r="AC44" s="167"/>
      <c r="AD44" s="167"/>
      <c r="AE44" s="167"/>
      <c r="AF44" s="167"/>
      <c r="AG44" s="167"/>
      <c r="AH44" s="21" t="str">
        <f ca="1">IFERROR(IF(INDIRECT($P$3&amp;"!AH10")=0,"",INDIRECT($P$3&amp;"!AH10")),"")</f>
        <v/>
      </c>
      <c r="AI44" s="147" t="str">
        <f ca="1">IFERROR(IF(INDIRECT($P$3&amp;"!AI10")=0,"",INDIRECT($P$3&amp;"!AI10")),"")</f>
        <v/>
      </c>
      <c r="AJ44" s="174"/>
      <c r="AK44" s="130"/>
      <c r="AL44" s="131"/>
      <c r="AM44" s="131"/>
      <c r="AN44" s="131"/>
      <c r="AO44" s="131"/>
      <c r="AP44" s="131"/>
      <c r="AQ44" s="131"/>
      <c r="AR44" s="131"/>
      <c r="AS44" s="131"/>
      <c r="AT44" s="131"/>
      <c r="AU44" s="132"/>
      <c r="AV44" s="140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9"/>
      <c r="BM44" s="136"/>
      <c r="BN44" s="139"/>
      <c r="BO44" s="136"/>
      <c r="BP44" s="137"/>
      <c r="BQ44" s="137"/>
      <c r="BR44" s="137"/>
      <c r="BS44" s="137"/>
      <c r="BT44" s="137"/>
      <c r="BU44" s="138"/>
    </row>
    <row r="45" spans="1:73" x14ac:dyDescent="0.2">
      <c r="A45" s="146" t="str">
        <f ca="1">IFERROR(IF(INDIRECT($P$3&amp;"!A16")=0,"",INDIRECT($P$3&amp;"!A16")),"")</f>
        <v/>
      </c>
      <c r="B45" s="147"/>
      <c r="C45" s="147"/>
      <c r="D45" s="147"/>
      <c r="E45" s="147"/>
      <c r="F45" s="147"/>
      <c r="G45" s="21"/>
      <c r="H45" s="147" t="str">
        <f ca="1">IFERROR(IF(INDIRECT($P$3&amp;"!H16")=0,"",INDIRECT($P$3&amp;"!H16")),"")</f>
        <v/>
      </c>
      <c r="I45" s="174"/>
      <c r="J45" s="146" t="str">
        <f ca="1">IFERROR(IF(INDIRECT($P$3&amp;"!J16")=0,"",INDIRECT($P$3&amp;"!J16")),"")</f>
        <v/>
      </c>
      <c r="K45" s="147"/>
      <c r="L45" s="147"/>
      <c r="M45" s="147"/>
      <c r="N45" s="147"/>
      <c r="O45" s="147"/>
      <c r="P45" s="21"/>
      <c r="Q45" s="77" t="str">
        <f ca="1">IFERROR(IF(INDIRECT($P$3&amp;"!Q16")=0,"",INDIRECT($P$3&amp;"!Q16")),"")</f>
        <v/>
      </c>
      <c r="R45" s="146" t="str">
        <f ca="1">IFERROR(IF(INDIRECT($P$3&amp;"!R16")=0,"",INDIRECT($P$3&amp;"!R16")),"")</f>
        <v/>
      </c>
      <c r="S45" s="147"/>
      <c r="T45" s="147"/>
      <c r="U45" s="147"/>
      <c r="V45" s="147"/>
      <c r="W45" s="147"/>
      <c r="X45" s="21"/>
      <c r="Y45" s="159" t="str">
        <f ca="1">IFERROR(IF(INDIRECT($P$3&amp;"!Y16")=0,"",INDIRECT($P$3&amp;"!Y16")),"")</f>
        <v/>
      </c>
      <c r="Z45" s="160"/>
      <c r="AA45" s="168" t="str">
        <f ca="1">IFERROR(IF(INDIRECT($P$3&amp;"!AA11")=0,"",INDIRECT($P$3&amp;"!AA11")),"")</f>
        <v/>
      </c>
      <c r="AB45" s="147"/>
      <c r="AC45" s="147"/>
      <c r="AD45" s="147"/>
      <c r="AE45" s="147"/>
      <c r="AF45" s="147"/>
      <c r="AG45" s="147"/>
      <c r="AH45" s="21"/>
      <c r="AI45" s="147" t="str">
        <f ca="1">IFERROR(IF(INDIRECT($P$3&amp;"!AI11")=0,"",INDIRECT($P$3&amp;"!AI11")),"")</f>
        <v/>
      </c>
      <c r="AJ45" s="174"/>
      <c r="AK45" s="130"/>
      <c r="AL45" s="131"/>
      <c r="AM45" s="131"/>
      <c r="AN45" s="131"/>
      <c r="AO45" s="131"/>
      <c r="AP45" s="131"/>
      <c r="AQ45" s="131"/>
      <c r="AR45" s="131"/>
      <c r="AS45" s="131"/>
      <c r="AT45" s="131"/>
      <c r="AU45" s="132"/>
      <c r="AV45" s="140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9"/>
      <c r="BM45" s="136"/>
      <c r="BN45" s="139"/>
      <c r="BO45" s="136"/>
      <c r="BP45" s="137"/>
      <c r="BQ45" s="137"/>
      <c r="BR45" s="137"/>
      <c r="BS45" s="137"/>
      <c r="BT45" s="137"/>
      <c r="BU45" s="138"/>
    </row>
    <row r="46" spans="1:73" ht="16" thickBot="1" x14ac:dyDescent="0.25">
      <c r="A46" s="173" t="str">
        <f ca="1">IFERROR(IF(INDIRECT($P$3&amp;"!A17")=0,"",INDIRECT($P$3&amp;"!A17")),"")</f>
        <v/>
      </c>
      <c r="B46" s="161"/>
      <c r="C46" s="161"/>
      <c r="D46" s="161"/>
      <c r="E46" s="161"/>
      <c r="F46" s="161"/>
      <c r="G46" s="22"/>
      <c r="H46" s="161" t="str">
        <f ca="1">IFERROR(IF(INDIRECT($P$3&amp;"!H17")=0,"",INDIRECT($P$3&amp;"!H17")),"")</f>
        <v/>
      </c>
      <c r="I46" s="162"/>
      <c r="J46" s="173" t="str">
        <f ca="1">IFERROR(IF(INDIRECT($P$3&amp;"!J17")=0,"",INDIRECT($P$3&amp;"!J17")),"")</f>
        <v/>
      </c>
      <c r="K46" s="161"/>
      <c r="L46" s="161"/>
      <c r="M46" s="161"/>
      <c r="N46" s="161"/>
      <c r="O46" s="161"/>
      <c r="P46" s="22"/>
      <c r="Q46" s="78" t="str">
        <f ca="1">IFERROR(IF(INDIRECT($P$3&amp;"!Q17")=0,"",INDIRECT($P$3&amp;"!Q17")),"")</f>
        <v/>
      </c>
      <c r="R46" s="173" t="str">
        <f ca="1">IFERROR(IF(INDIRECT($P$3&amp;"!R17")=0,"",INDIRECT($P$3&amp;"!R17")),"")</f>
        <v/>
      </c>
      <c r="S46" s="161"/>
      <c r="T46" s="161"/>
      <c r="U46" s="161"/>
      <c r="V46" s="161"/>
      <c r="W46" s="161"/>
      <c r="X46" s="22"/>
      <c r="Y46" s="161" t="str">
        <f ca="1">IFERROR(IF(INDIRECT($P$3&amp;"!Y17")=0,"",INDIRECT($P$3&amp;"!Y17")),"")</f>
        <v/>
      </c>
      <c r="Z46" s="162"/>
      <c r="AA46" s="169" t="str">
        <f ca="1">IFERROR(IF(INDIRECT($P$3&amp;"!AA12")=0,"",INDIRECT($P$3&amp;"!AA12")),"")</f>
        <v/>
      </c>
      <c r="AB46" s="161"/>
      <c r="AC46" s="161"/>
      <c r="AD46" s="161"/>
      <c r="AE46" s="161"/>
      <c r="AF46" s="161"/>
      <c r="AG46" s="161"/>
      <c r="AH46" s="22"/>
      <c r="AI46" s="161" t="str">
        <f ca="1">IFERROR(IF(INDIRECT($P$3&amp;"!AI12")=0,"",INDIRECT($P$3&amp;"!AI12")),"")</f>
        <v/>
      </c>
      <c r="AJ46" s="162"/>
      <c r="AK46" s="133"/>
      <c r="AL46" s="134"/>
      <c r="AM46" s="134"/>
      <c r="AN46" s="134"/>
      <c r="AO46" s="134"/>
      <c r="AP46" s="134"/>
      <c r="AQ46" s="134"/>
      <c r="AR46" s="134"/>
      <c r="AS46" s="134"/>
      <c r="AT46" s="134"/>
      <c r="AU46" s="135"/>
      <c r="AV46" s="141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3"/>
      <c r="BM46" s="144"/>
      <c r="BN46" s="143"/>
      <c r="BO46" s="144"/>
      <c r="BP46" s="142"/>
      <c r="BQ46" s="142"/>
      <c r="BR46" s="142"/>
      <c r="BS46" s="142"/>
      <c r="BT46" s="142"/>
      <c r="BU46" s="145"/>
    </row>
  </sheetData>
  <mergeCells count="518">
    <mergeCell ref="AI34:AJ34"/>
    <mergeCell ref="AI25:AJ25"/>
    <mergeCell ref="AI26:AJ26"/>
    <mergeCell ref="AI27:AJ27"/>
    <mergeCell ref="AI28:AJ28"/>
    <mergeCell ref="AI29:AJ29"/>
    <mergeCell ref="AI30:AJ30"/>
    <mergeCell ref="AI31:AJ31"/>
    <mergeCell ref="AI32:AJ32"/>
    <mergeCell ref="AI33:AJ33"/>
    <mergeCell ref="AA25:AF25"/>
    <mergeCell ref="AA26:AF26"/>
    <mergeCell ref="AA27:AF27"/>
    <mergeCell ref="AA28:AF28"/>
    <mergeCell ref="AA29:AF29"/>
    <mergeCell ref="AA30:AF30"/>
    <mergeCell ref="AA31:AF31"/>
    <mergeCell ref="AA32:AF32"/>
    <mergeCell ref="AA33:AF33"/>
    <mergeCell ref="AG25:AH25"/>
    <mergeCell ref="AG26:AH26"/>
    <mergeCell ref="AG27:AH27"/>
    <mergeCell ref="AG28:AH28"/>
    <mergeCell ref="AG29:AH29"/>
    <mergeCell ref="AG30:AH30"/>
    <mergeCell ref="AG31:AH31"/>
    <mergeCell ref="AG32:AH32"/>
    <mergeCell ref="AG33:AH33"/>
    <mergeCell ref="G12:H12"/>
    <mergeCell ref="A13:F13"/>
    <mergeCell ref="G13:H13"/>
    <mergeCell ref="A12:E12"/>
    <mergeCell ref="G2:H2"/>
    <mergeCell ref="AA22:AH22"/>
    <mergeCell ref="AI22:AJ22"/>
    <mergeCell ref="A1:E1"/>
    <mergeCell ref="A4:E4"/>
    <mergeCell ref="A5:E5"/>
    <mergeCell ref="A3:E3"/>
    <mergeCell ref="G7:H7"/>
    <mergeCell ref="G8:H8"/>
    <mergeCell ref="G9:H9"/>
    <mergeCell ref="G10:H10"/>
    <mergeCell ref="A6:E6"/>
    <mergeCell ref="A7:E7"/>
    <mergeCell ref="A8:E8"/>
    <mergeCell ref="A9:E9"/>
    <mergeCell ref="A10:E10"/>
    <mergeCell ref="A11:E11"/>
    <mergeCell ref="I5:O5"/>
    <mergeCell ref="I6:O6"/>
    <mergeCell ref="T1:W1"/>
    <mergeCell ref="X1:AJ1"/>
    <mergeCell ref="F1:S1"/>
    <mergeCell ref="P3:U3"/>
    <mergeCell ref="Y4:Z4"/>
    <mergeCell ref="V4:X4"/>
    <mergeCell ref="P4:U4"/>
    <mergeCell ref="P2:Z2"/>
    <mergeCell ref="AA2:AJ2"/>
    <mergeCell ref="AA3:AG3"/>
    <mergeCell ref="AA4:AG4"/>
    <mergeCell ref="I2:O2"/>
    <mergeCell ref="I3:O3"/>
    <mergeCell ref="I4:O4"/>
    <mergeCell ref="G3:H3"/>
    <mergeCell ref="G4:H4"/>
    <mergeCell ref="AH3:AJ3"/>
    <mergeCell ref="AH4:AJ4"/>
    <mergeCell ref="A2:F2"/>
    <mergeCell ref="Y3:Z3"/>
    <mergeCell ref="V3:X3"/>
    <mergeCell ref="I13:K13"/>
    <mergeCell ref="L13:T13"/>
    <mergeCell ref="U13:V13"/>
    <mergeCell ref="X13:Y13"/>
    <mergeCell ref="AA7:AG7"/>
    <mergeCell ref="AA8:AG8"/>
    <mergeCell ref="AA10:AG10"/>
    <mergeCell ref="P10:Z10"/>
    <mergeCell ref="I8:O8"/>
    <mergeCell ref="I9:O9"/>
    <mergeCell ref="I10:O10"/>
    <mergeCell ref="I11:J11"/>
    <mergeCell ref="K11:M11"/>
    <mergeCell ref="N11:Q11"/>
    <mergeCell ref="I7:O7"/>
    <mergeCell ref="R11:T11"/>
    <mergeCell ref="U11:V11"/>
    <mergeCell ref="P8:Z8"/>
    <mergeCell ref="P9:Z9"/>
    <mergeCell ref="AA9:AG9"/>
    <mergeCell ref="I12:K12"/>
    <mergeCell ref="L12:N12"/>
    <mergeCell ref="AE12:AJ12"/>
    <mergeCell ref="O12:Q12"/>
    <mergeCell ref="G5:H5"/>
    <mergeCell ref="G6:H6"/>
    <mergeCell ref="G11:H11"/>
    <mergeCell ref="AH5:AJ5"/>
    <mergeCell ref="AH6:AJ6"/>
    <mergeCell ref="AH7:AJ7"/>
    <mergeCell ref="AH9:AJ9"/>
    <mergeCell ref="P7:T7"/>
    <mergeCell ref="P6:T6"/>
    <mergeCell ref="U5:W5"/>
    <mergeCell ref="X5:Z5"/>
    <mergeCell ref="P5:T5"/>
    <mergeCell ref="U6:W6"/>
    <mergeCell ref="V7:Z7"/>
    <mergeCell ref="X6:Z6"/>
    <mergeCell ref="AH8:AJ8"/>
    <mergeCell ref="W11:Z11"/>
    <mergeCell ref="AA5:AG5"/>
    <mergeCell ref="AA6:AG6"/>
    <mergeCell ref="AH10:AJ10"/>
    <mergeCell ref="AA11:AD11"/>
    <mergeCell ref="AE11:AJ11"/>
    <mergeCell ref="R12:T12"/>
    <mergeCell ref="U12:V12"/>
    <mergeCell ref="AC14:AJ14"/>
    <mergeCell ref="AA13:AD13"/>
    <mergeCell ref="AA15:AB15"/>
    <mergeCell ref="W12:Z12"/>
    <mergeCell ref="AA12:AD12"/>
    <mergeCell ref="AA14:AB14"/>
    <mergeCell ref="R17:T17"/>
    <mergeCell ref="R18:T18"/>
    <mergeCell ref="R19:T19"/>
    <mergeCell ref="AA20:AC20"/>
    <mergeCell ref="AF20:AH20"/>
    <mergeCell ref="AE13:AJ13"/>
    <mergeCell ref="AA16:AE16"/>
    <mergeCell ref="AF16:AJ16"/>
    <mergeCell ref="AA17:AB17"/>
    <mergeCell ref="AC17:AE17"/>
    <mergeCell ref="AF17:AG17"/>
    <mergeCell ref="AH17:AJ17"/>
    <mergeCell ref="AA18:AC18"/>
    <mergeCell ref="AD18:AE18"/>
    <mergeCell ref="AF18:AH18"/>
    <mergeCell ref="AI18:AJ18"/>
    <mergeCell ref="AA19:AC19"/>
    <mergeCell ref="AD19:AE19"/>
    <mergeCell ref="AF19:AH19"/>
    <mergeCell ref="AI19:AJ19"/>
    <mergeCell ref="U14:W14"/>
    <mergeCell ref="X14:Z14"/>
    <mergeCell ref="AC15:AJ15"/>
    <mergeCell ref="X17:Z17"/>
    <mergeCell ref="X18:Z18"/>
    <mergeCell ref="A14:H14"/>
    <mergeCell ref="A15:H15"/>
    <mergeCell ref="X15:Z16"/>
    <mergeCell ref="I15:K16"/>
    <mergeCell ref="L15:N16"/>
    <mergeCell ref="O15:Q16"/>
    <mergeCell ref="R15:T16"/>
    <mergeCell ref="U15:W16"/>
    <mergeCell ref="S14:T14"/>
    <mergeCell ref="I14:R14"/>
    <mergeCell ref="A16:D16"/>
    <mergeCell ref="E16:H16"/>
    <mergeCell ref="A17:F17"/>
    <mergeCell ref="A18:F18"/>
    <mergeCell ref="A19:F19"/>
    <mergeCell ref="G17:H19"/>
    <mergeCell ref="A20:F20"/>
    <mergeCell ref="G20:H20"/>
    <mergeCell ref="A21:F21"/>
    <mergeCell ref="G21:H21"/>
    <mergeCell ref="A22:F22"/>
    <mergeCell ref="I21:K21"/>
    <mergeCell ref="I22:K22"/>
    <mergeCell ref="L17:N17"/>
    <mergeCell ref="L18:N18"/>
    <mergeCell ref="L19:N19"/>
    <mergeCell ref="O17:Q17"/>
    <mergeCell ref="O18:Q18"/>
    <mergeCell ref="O19:Q19"/>
    <mergeCell ref="I17:K17"/>
    <mergeCell ref="I18:K18"/>
    <mergeCell ref="I19:K19"/>
    <mergeCell ref="X28:Z28"/>
    <mergeCell ref="X29:Z29"/>
    <mergeCell ref="U17:W17"/>
    <mergeCell ref="U18:W18"/>
    <mergeCell ref="U19:W19"/>
    <mergeCell ref="I23:K23"/>
    <mergeCell ref="I24:K24"/>
    <mergeCell ref="I25:K25"/>
    <mergeCell ref="I26:K26"/>
    <mergeCell ref="I27:K27"/>
    <mergeCell ref="I28:K28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M20:N20"/>
    <mergeCell ref="M21:N21"/>
    <mergeCell ref="M22:N22"/>
    <mergeCell ref="I20:K20"/>
    <mergeCell ref="X19:Z19"/>
    <mergeCell ref="X20:Z20"/>
    <mergeCell ref="X21:Z21"/>
    <mergeCell ref="X22:Z22"/>
    <mergeCell ref="X23:Z23"/>
    <mergeCell ref="X24:Z24"/>
    <mergeCell ref="X25:Z25"/>
    <mergeCell ref="I29:K29"/>
    <mergeCell ref="M23:N23"/>
    <mergeCell ref="M24:N24"/>
    <mergeCell ref="M25:N25"/>
    <mergeCell ref="M26:N26"/>
    <mergeCell ref="M27:N27"/>
    <mergeCell ref="M28:N28"/>
    <mergeCell ref="V27:W27"/>
    <mergeCell ref="V28:W28"/>
    <mergeCell ref="V29:W29"/>
    <mergeCell ref="S25:T25"/>
    <mergeCell ref="V25:W25"/>
    <mergeCell ref="S26:T26"/>
    <mergeCell ref="V26:W26"/>
    <mergeCell ref="S27:T27"/>
    <mergeCell ref="S28:T28"/>
    <mergeCell ref="S29:T29"/>
    <mergeCell ref="M29:N29"/>
    <mergeCell ref="P29:Q29"/>
    <mergeCell ref="AA23:AH23"/>
    <mergeCell ref="AI23:AJ23"/>
    <mergeCell ref="AA24:AG24"/>
    <mergeCell ref="AH24:AJ24"/>
    <mergeCell ref="S20:T20"/>
    <mergeCell ref="V20:W20"/>
    <mergeCell ref="S21:T21"/>
    <mergeCell ref="V21:W21"/>
    <mergeCell ref="S22:T22"/>
    <mergeCell ref="V22:W22"/>
    <mergeCell ref="S23:T23"/>
    <mergeCell ref="V23:W23"/>
    <mergeCell ref="S24:T24"/>
    <mergeCell ref="V24:W24"/>
    <mergeCell ref="AI20:AJ20"/>
    <mergeCell ref="AD20:AE20"/>
    <mergeCell ref="AA21:AC21"/>
    <mergeCell ref="AF21:AH21"/>
    <mergeCell ref="AD21:AE21"/>
    <mergeCell ref="AI21:AJ21"/>
    <mergeCell ref="X26:Z26"/>
    <mergeCell ref="X27:Z27"/>
    <mergeCell ref="AI45:AJ45"/>
    <mergeCell ref="AI46:AJ46"/>
    <mergeCell ref="AA35:AG35"/>
    <mergeCell ref="AI35:AJ35"/>
    <mergeCell ref="AA36:AG36"/>
    <mergeCell ref="AA37:AG37"/>
    <mergeCell ref="AA38:AG38"/>
    <mergeCell ref="AA39:AG39"/>
    <mergeCell ref="AA40:AG40"/>
    <mergeCell ref="AA41:AG41"/>
    <mergeCell ref="AA42:AG42"/>
    <mergeCell ref="AI36:AJ36"/>
    <mergeCell ref="AI37:AJ37"/>
    <mergeCell ref="AI38:AJ38"/>
    <mergeCell ref="AI39:AJ39"/>
    <mergeCell ref="AI40:AJ40"/>
    <mergeCell ref="AI41:AJ41"/>
    <mergeCell ref="AI42:AJ42"/>
    <mergeCell ref="AI43:AJ43"/>
    <mergeCell ref="AI44:AJ44"/>
    <mergeCell ref="A46:F46"/>
    <mergeCell ref="H31:I31"/>
    <mergeCell ref="H32:I32"/>
    <mergeCell ref="H33:I33"/>
    <mergeCell ref="H34:I34"/>
    <mergeCell ref="H35:I35"/>
    <mergeCell ref="H36:I36"/>
    <mergeCell ref="H37:I37"/>
    <mergeCell ref="H41:I41"/>
    <mergeCell ref="H42:I42"/>
    <mergeCell ref="H43:I43"/>
    <mergeCell ref="H39:I39"/>
    <mergeCell ref="H40:I40"/>
    <mergeCell ref="H44:I44"/>
    <mergeCell ref="H45:I45"/>
    <mergeCell ref="H46:I46"/>
    <mergeCell ref="H38:I38"/>
    <mergeCell ref="A40:F40"/>
    <mergeCell ref="A36:F36"/>
    <mergeCell ref="A37:F37"/>
    <mergeCell ref="A38:F38"/>
    <mergeCell ref="A39:F39"/>
    <mergeCell ref="A41:F41"/>
    <mergeCell ref="A42:F42"/>
    <mergeCell ref="Y30:Z30"/>
    <mergeCell ref="AA43:AG43"/>
    <mergeCell ref="AA44:AG44"/>
    <mergeCell ref="AA45:AG45"/>
    <mergeCell ref="AA46:AG46"/>
    <mergeCell ref="AA34:AF34"/>
    <mergeCell ref="AG34:AH34"/>
    <mergeCell ref="J43:O43"/>
    <mergeCell ref="J44:O44"/>
    <mergeCell ref="J45:O45"/>
    <mergeCell ref="J46:O46"/>
    <mergeCell ref="R46:W46"/>
    <mergeCell ref="R31:W31"/>
    <mergeCell ref="R32:W32"/>
    <mergeCell ref="R33:W33"/>
    <mergeCell ref="R34:W34"/>
    <mergeCell ref="R35:W35"/>
    <mergeCell ref="R36:W36"/>
    <mergeCell ref="J36:O36"/>
    <mergeCell ref="Y40:Z40"/>
    <mergeCell ref="Y41:Z41"/>
    <mergeCell ref="Y42:Z42"/>
    <mergeCell ref="Y43:Z43"/>
    <mergeCell ref="R39:W39"/>
    <mergeCell ref="J40:O40"/>
    <mergeCell ref="J37:O37"/>
    <mergeCell ref="J38:O38"/>
    <mergeCell ref="J41:O41"/>
    <mergeCell ref="J42:O42"/>
    <mergeCell ref="A30:F30"/>
    <mergeCell ref="H30:I30"/>
    <mergeCell ref="J30:O30"/>
    <mergeCell ref="A31:F31"/>
    <mergeCell ref="A32:F32"/>
    <mergeCell ref="J32:O32"/>
    <mergeCell ref="J33:O33"/>
    <mergeCell ref="J34:O34"/>
    <mergeCell ref="J35:O35"/>
    <mergeCell ref="A33:F33"/>
    <mergeCell ref="A34:F34"/>
    <mergeCell ref="A35:F35"/>
    <mergeCell ref="J31:O31"/>
    <mergeCell ref="R30:W30"/>
    <mergeCell ref="A43:F43"/>
    <mergeCell ref="A44:F44"/>
    <mergeCell ref="A45:F45"/>
    <mergeCell ref="Y44:Z44"/>
    <mergeCell ref="Y45:Z45"/>
    <mergeCell ref="Y46:Z46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R40:W40"/>
    <mergeCell ref="R41:W41"/>
    <mergeCell ref="R42:W42"/>
    <mergeCell ref="R43:W43"/>
    <mergeCell ref="R44:W44"/>
    <mergeCell ref="R45:W45"/>
    <mergeCell ref="J39:O39"/>
    <mergeCell ref="R37:W37"/>
    <mergeCell ref="R38:W38"/>
    <mergeCell ref="AV5:BL5"/>
    <mergeCell ref="AV6:BL6"/>
    <mergeCell ref="AV7:BL7"/>
    <mergeCell ref="AV8:BL8"/>
    <mergeCell ref="AV9:BL9"/>
    <mergeCell ref="AV10:BL10"/>
    <mergeCell ref="AK1:AS1"/>
    <mergeCell ref="AT1:BU1"/>
    <mergeCell ref="AK2:BU2"/>
    <mergeCell ref="AK3:AU3"/>
    <mergeCell ref="BO4:BU4"/>
    <mergeCell ref="BO3:BU3"/>
    <mergeCell ref="BM3:BN3"/>
    <mergeCell ref="BM4:BN4"/>
    <mergeCell ref="AV4:BL4"/>
    <mergeCell ref="AV3:BL3"/>
    <mergeCell ref="BM5:BN5"/>
    <mergeCell ref="BM6:BN6"/>
    <mergeCell ref="BM7:BN7"/>
    <mergeCell ref="BM8:BN8"/>
    <mergeCell ref="BM9:BN9"/>
    <mergeCell ref="BM10:BN10"/>
    <mergeCell ref="AV11:BL11"/>
    <mergeCell ref="AV12:BL12"/>
    <mergeCell ref="AV13:BL13"/>
    <mergeCell ref="AV14:BL14"/>
    <mergeCell ref="AV15:BL15"/>
    <mergeCell ref="AV16:BL16"/>
    <mergeCell ref="AV17:BL17"/>
    <mergeCell ref="AV18:BL18"/>
    <mergeCell ref="AV19:BL19"/>
    <mergeCell ref="AV20:BL20"/>
    <mergeCell ref="AV36:BL36"/>
    <mergeCell ref="AV37:BL37"/>
    <mergeCell ref="AV38:BL38"/>
    <mergeCell ref="AV21:BL21"/>
    <mergeCell ref="AV22:BL22"/>
    <mergeCell ref="AV23:BL23"/>
    <mergeCell ref="AV24:BL24"/>
    <mergeCell ref="AV25:BL25"/>
    <mergeCell ref="AV26:BL26"/>
    <mergeCell ref="AV27:BL27"/>
    <mergeCell ref="AV28:BL28"/>
    <mergeCell ref="AV29:BL29"/>
    <mergeCell ref="AV39:BL39"/>
    <mergeCell ref="AV40:BL40"/>
    <mergeCell ref="AV41:BL41"/>
    <mergeCell ref="AV42:BL42"/>
    <mergeCell ref="AV43:BL43"/>
    <mergeCell ref="AV44:BL44"/>
    <mergeCell ref="AV45:BL45"/>
    <mergeCell ref="AV46:BL46"/>
    <mergeCell ref="BO30:BU30"/>
    <mergeCell ref="BO31:BU31"/>
    <mergeCell ref="BM44:BN44"/>
    <mergeCell ref="BM45:BN45"/>
    <mergeCell ref="BM46:BN46"/>
    <mergeCell ref="BO42:BU42"/>
    <mergeCell ref="BO43:BU43"/>
    <mergeCell ref="BO44:BU44"/>
    <mergeCell ref="BO45:BU45"/>
    <mergeCell ref="BO46:BU46"/>
    <mergeCell ref="AV30:BL30"/>
    <mergeCell ref="AV31:BL31"/>
    <mergeCell ref="AV32:BL32"/>
    <mergeCell ref="AV33:BL33"/>
    <mergeCell ref="AV34:BL34"/>
    <mergeCell ref="AV35:BL35"/>
    <mergeCell ref="BM37:BN37"/>
    <mergeCell ref="BM38:BN38"/>
    <mergeCell ref="BM39:BN39"/>
    <mergeCell ref="BM11:BN11"/>
    <mergeCell ref="BM12:BN12"/>
    <mergeCell ref="BM13:BN13"/>
    <mergeCell ref="BM14:BN14"/>
    <mergeCell ref="BM15:BN15"/>
    <mergeCell ref="BM16:BN16"/>
    <mergeCell ref="BM17:BN17"/>
    <mergeCell ref="BM18:BN18"/>
    <mergeCell ref="BM19:BN19"/>
    <mergeCell ref="BM28:BN28"/>
    <mergeCell ref="BM29:BN29"/>
    <mergeCell ref="BM30:BN30"/>
    <mergeCell ref="BM31:BN31"/>
    <mergeCell ref="BM32:BN32"/>
    <mergeCell ref="BM33:BN33"/>
    <mergeCell ref="BM34:BN34"/>
    <mergeCell ref="BM35:BN35"/>
    <mergeCell ref="BM36:BN36"/>
    <mergeCell ref="BO19:BU19"/>
    <mergeCell ref="BO20:BU20"/>
    <mergeCell ref="BO21:BU21"/>
    <mergeCell ref="BM41:BN41"/>
    <mergeCell ref="BO22:BU22"/>
    <mergeCell ref="BO41:BU41"/>
    <mergeCell ref="BM20:BN20"/>
    <mergeCell ref="BO5:BU5"/>
    <mergeCell ref="BO6:BU6"/>
    <mergeCell ref="BO7:BU7"/>
    <mergeCell ref="BO8:BU8"/>
    <mergeCell ref="BO9:BU9"/>
    <mergeCell ref="BO10:BU10"/>
    <mergeCell ref="BO11:BU11"/>
    <mergeCell ref="BO12:BU12"/>
    <mergeCell ref="BO13:BU13"/>
    <mergeCell ref="BM21:BN21"/>
    <mergeCell ref="BM22:BN22"/>
    <mergeCell ref="BM40:BN40"/>
    <mergeCell ref="BM23:BN23"/>
    <mergeCell ref="BM24:BN24"/>
    <mergeCell ref="BM25:BN25"/>
    <mergeCell ref="BM26:BN26"/>
    <mergeCell ref="BM27:BN27"/>
    <mergeCell ref="AK4:AU46"/>
    <mergeCell ref="BO32:BU32"/>
    <mergeCell ref="BO33:BU33"/>
    <mergeCell ref="BO34:BU34"/>
    <mergeCell ref="BO35:BU35"/>
    <mergeCell ref="BO36:BU36"/>
    <mergeCell ref="BO37:BU37"/>
    <mergeCell ref="BO38:BU38"/>
    <mergeCell ref="BO39:BU39"/>
    <mergeCell ref="BO40:BU40"/>
    <mergeCell ref="BO23:BU23"/>
    <mergeCell ref="BO24:BU24"/>
    <mergeCell ref="BO25:BU25"/>
    <mergeCell ref="BO26:BU26"/>
    <mergeCell ref="BO27:BU27"/>
    <mergeCell ref="BO28:BU28"/>
    <mergeCell ref="BO29:BU29"/>
    <mergeCell ref="BM42:BN42"/>
    <mergeCell ref="BM43:BN43"/>
    <mergeCell ref="BO14:BU14"/>
    <mergeCell ref="BO15:BU15"/>
    <mergeCell ref="BO16:BU16"/>
    <mergeCell ref="BO17:BU17"/>
    <mergeCell ref="BO18:BU18"/>
    <mergeCell ref="A27:F27"/>
    <mergeCell ref="G27:H27"/>
    <mergeCell ref="A28:F28"/>
    <mergeCell ref="G28:H28"/>
    <mergeCell ref="A29:F29"/>
    <mergeCell ref="G29:H29"/>
    <mergeCell ref="G22:H22"/>
    <mergeCell ref="A23:F23"/>
    <mergeCell ref="G23:H23"/>
    <mergeCell ref="A24:F24"/>
    <mergeCell ref="G24:H24"/>
    <mergeCell ref="A25:F25"/>
    <mergeCell ref="G25:H25"/>
    <mergeCell ref="A26:F26"/>
    <mergeCell ref="G26:H26"/>
  </mergeCells>
  <phoneticPr fontId="16" type="noConversion"/>
  <conditionalFormatting sqref="AH10:AJ10">
    <cfRule type="expression" dxfId="63" priority="58">
      <formula>$AH$10&lt;0</formula>
    </cfRule>
  </conditionalFormatting>
  <conditionalFormatting sqref="AI22:AJ22">
    <cfRule type="expression" dxfId="62" priority="54">
      <formula>$AI$22&lt;0</formula>
    </cfRule>
  </conditionalFormatting>
  <conditionalFormatting sqref="AH24:AJ24">
    <cfRule type="expression" dxfId="61" priority="53">
      <formula>$AH$24&lt;0</formula>
    </cfRule>
  </conditionalFormatting>
  <conditionalFormatting sqref="J40:O40">
    <cfRule type="containsText" dxfId="60" priority="52" operator="containsText" text="Alvilági képzettségek">
      <formula>NOT(ISERROR(SEARCH("Alvilági képzettségek",J40)))</formula>
    </cfRule>
  </conditionalFormatting>
  <conditionalFormatting sqref="P40">
    <cfRule type="containsText" dxfId="59" priority="51" operator="containsText" text="Kp">
      <formula>NOT(ISERROR(SEARCH("Kp",P40)))</formula>
    </cfRule>
  </conditionalFormatting>
  <conditionalFormatting sqref="Q40">
    <cfRule type="containsText" dxfId="58" priority="50" operator="containsText" text="Fok">
      <formula>NOT(ISERROR(SEARCH("Fok",Q40)))</formula>
    </cfRule>
  </conditionalFormatting>
  <conditionalFormatting sqref="A40:F40">
    <cfRule type="containsText" dxfId="57" priority="49" operator="containsText" text="Alvilági képzettségek">
      <formula>NOT(ISERROR(SEARCH("Alvilági képzettségek",A40)))</formula>
    </cfRule>
  </conditionalFormatting>
  <conditionalFormatting sqref="G40">
    <cfRule type="containsText" dxfId="56" priority="48" operator="containsText" text="Kp">
      <formula>NOT(ISERROR(SEARCH("Kp",G40)))</formula>
    </cfRule>
  </conditionalFormatting>
  <conditionalFormatting sqref="H40:I40">
    <cfRule type="containsText" dxfId="55" priority="47" operator="containsText" text="Fok">
      <formula>NOT(ISERROR(SEARCH("Fok",H40)))</formula>
    </cfRule>
  </conditionalFormatting>
  <conditionalFormatting sqref="AA44:AG44">
    <cfRule type="containsText" dxfId="54" priority="46" operator="containsText" text="Ősi nyelv ismerete">
      <formula>NOT(ISERROR(SEARCH("Ősi nyelv ismerete",AA44)))</formula>
    </cfRule>
  </conditionalFormatting>
  <conditionalFormatting sqref="AH44">
    <cfRule type="containsText" dxfId="53" priority="45" operator="containsText" text="Kp">
      <formula>NOT(ISERROR(SEARCH("Kp",AH44)))</formula>
    </cfRule>
  </conditionalFormatting>
  <conditionalFormatting sqref="AI44:AJ44">
    <cfRule type="containsText" dxfId="52" priority="44" operator="containsText" text="Fok">
      <formula>NOT(ISERROR(SEARCH("Fok",AI44)))</formula>
    </cfRule>
  </conditionalFormatting>
  <conditionalFormatting sqref="R40:W40">
    <cfRule type="containsText" dxfId="51" priority="41" operator="containsText" text="Alvilági képzettségek">
      <formula>NOT(ISERROR(SEARCH("Alvilági képzettségek",R40)))</formula>
    </cfRule>
  </conditionalFormatting>
  <conditionalFormatting sqref="X40">
    <cfRule type="containsText" dxfId="50" priority="40" operator="containsText" text="Kp">
      <formula>NOT(ISERROR(SEARCH("Kp",X40)))</formula>
    </cfRule>
  </conditionalFormatting>
  <conditionalFormatting sqref="Y40:Z40">
    <cfRule type="containsText" dxfId="49" priority="39" operator="containsText" text="Fok">
      <formula>NOT(ISERROR(SEARCH("Fok",Y40)))</formula>
    </cfRule>
  </conditionalFormatting>
  <conditionalFormatting sqref="AA36:AG36">
    <cfRule type="expression" dxfId="48" priority="38">
      <formula>IF($AI$36="","",$AA$36="")</formula>
    </cfRule>
  </conditionalFormatting>
  <conditionalFormatting sqref="AA37:AG37">
    <cfRule type="expression" dxfId="47" priority="37">
      <formula>IF($AI$37="","",$AA$37="")</formula>
    </cfRule>
  </conditionalFormatting>
  <conditionalFormatting sqref="AA38:AG38">
    <cfRule type="expression" dxfId="46" priority="36">
      <formula>IF($AI$38="","",$AA$38="")</formula>
    </cfRule>
  </conditionalFormatting>
  <conditionalFormatting sqref="AA39:AG39">
    <cfRule type="expression" dxfId="45" priority="35">
      <formula>IF($AI$39="","",$AA$39="")</formula>
    </cfRule>
  </conditionalFormatting>
  <conditionalFormatting sqref="AA40:AG40">
    <cfRule type="expression" dxfId="44" priority="34">
      <formula>IF($AI$40="","",$AA$40="")</formula>
    </cfRule>
  </conditionalFormatting>
  <conditionalFormatting sqref="AA41:AG41">
    <cfRule type="expression" dxfId="43" priority="33">
      <formula>IF($AI$41="","",$AA$41="")</formula>
    </cfRule>
  </conditionalFormatting>
  <conditionalFormatting sqref="AA42:AG42">
    <cfRule type="expression" dxfId="42" priority="32">
      <formula>IF($AI$42="","",$AA$42="")</formula>
    </cfRule>
  </conditionalFormatting>
  <conditionalFormatting sqref="AA43:AG43">
    <cfRule type="expression" dxfId="41" priority="31">
      <formula>IF($AI$43="","",$AA$43="")</formula>
    </cfRule>
  </conditionalFormatting>
  <conditionalFormatting sqref="AA45:AG45">
    <cfRule type="expression" dxfId="40" priority="30">
      <formula>IF($AI$45="","",$AA$45="")</formula>
    </cfRule>
  </conditionalFormatting>
  <conditionalFormatting sqref="AA46:AG46">
    <cfRule type="expression" dxfId="39" priority="29">
      <formula>IF($AI$46="","",$AA$46="")</formula>
    </cfRule>
  </conditionalFormatting>
  <conditionalFormatting sqref="A41:W41">
    <cfRule type="containsText" dxfId="38" priority="4" operator="containsText" text="Faji képzettségek">
      <formula>NOT(ISERROR(SEARCH("Faji képzettségek",A41)))</formula>
    </cfRule>
  </conditionalFormatting>
  <conditionalFormatting sqref="X41">
    <cfRule type="expression" dxfId="37" priority="3">
      <formula>$Y$41="Fok"</formula>
    </cfRule>
  </conditionalFormatting>
  <conditionalFormatting sqref="H41:Z41">
    <cfRule type="containsText" dxfId="36" priority="2" operator="containsText" text="Fok">
      <formula>NOT(ISERROR(SEARCH("Fok",H41)))</formula>
    </cfRule>
  </conditionalFormatting>
  <conditionalFormatting sqref="G41">
    <cfRule type="expression" dxfId="35" priority="1">
      <formula>$H$41="Fok"</formula>
    </cfRule>
  </conditionalFormatting>
  <dataValidations count="3">
    <dataValidation type="list" allowBlank="1" showInputMessage="1" showErrorMessage="1" errorTitle="Hiba" error="Válaszd ki a helyes választ!" sqref="X5:Z5">
      <formula1>eldontendo</formula1>
    </dataValidation>
    <dataValidation type="list" allowBlank="1" showInputMessage="1" showErrorMessage="1" sqref="X6:Z6 S14:T14">
      <formula1>eldontendo</formula1>
    </dataValidation>
    <dataValidation type="whole" allowBlank="1" showInputMessage="1" showErrorMessage="1" error="Érvénytelen szám!" sqref="P6:T6 Y3:Z4">
      <formula1>1</formula1>
      <formula2>99</formula2>
    </dataValidation>
  </dataValidations>
  <pageMargins left="0.25" right="0.25" top="0.75" bottom="0.75" header="0.3" footer="0.3"/>
  <pageSetup orientation="portrait" r:id="rId1"/>
  <headerFooter>
    <oddHeader>&amp;L&amp;"-,Dőlt"Számolós karakterlap @ X. Lumina Cornu és II. Kalandozok napja&amp;R&amp;"-,Dőlt"Kalandozok.hu</oddHeader>
    <oddFooter>&amp;L&amp;"-,Dőlt"v 2.21&amp;R&amp;"-,Dőlt"Készítette: Silver Hawk @ 2012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 moveWithCells="1">
                  <from>
                    <xdr:col>9</xdr:col>
                    <xdr:colOff>12700</xdr:colOff>
                    <xdr:row>19</xdr:row>
                    <xdr:rowOff>0</xdr:rowOff>
                  </from>
                  <to>
                    <xdr:col>10</xdr:col>
                    <xdr:colOff>88900</xdr:colOff>
                    <xdr:row>20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9</xdr:col>
                    <xdr:colOff>12700</xdr:colOff>
                    <xdr:row>20</xdr:row>
                    <xdr:rowOff>0</xdr:rowOff>
                  </from>
                  <to>
                    <xdr:col>10</xdr:col>
                    <xdr:colOff>88900</xdr:colOff>
                    <xdr:row>21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9</xdr:col>
                    <xdr:colOff>12700</xdr:colOff>
                    <xdr:row>20</xdr:row>
                    <xdr:rowOff>190500</xdr:rowOff>
                  </from>
                  <to>
                    <xdr:col>10</xdr:col>
                    <xdr:colOff>88900</xdr:colOff>
                    <xdr:row>22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8" r:id="rId7" name="Check Box 44">
              <controlPr defaultSize="0" autoFill="0" autoLine="0" autoPict="0">
                <anchor moveWithCells="1">
                  <from>
                    <xdr:col>9</xdr:col>
                    <xdr:colOff>12700</xdr:colOff>
                    <xdr:row>22</xdr:row>
                    <xdr:rowOff>0</xdr:rowOff>
                  </from>
                  <to>
                    <xdr:col>10</xdr:col>
                    <xdr:colOff>88900</xdr:colOff>
                    <xdr:row>23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9" r:id="rId8" name="Check Box 45">
              <controlPr defaultSize="0" autoFill="0" autoLine="0" autoPict="0">
                <anchor moveWithCells="1">
                  <from>
                    <xdr:col>9</xdr:col>
                    <xdr:colOff>12700</xdr:colOff>
                    <xdr:row>23</xdr:row>
                    <xdr:rowOff>0</xdr:rowOff>
                  </from>
                  <to>
                    <xdr:col>10</xdr:col>
                    <xdr:colOff>88900</xdr:colOff>
                    <xdr:row>24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9</xdr:col>
                    <xdr:colOff>12700</xdr:colOff>
                    <xdr:row>24</xdr:row>
                    <xdr:rowOff>0</xdr:rowOff>
                  </from>
                  <to>
                    <xdr:col>10</xdr:col>
                    <xdr:colOff>88900</xdr:colOff>
                    <xdr:row>25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9</xdr:col>
                    <xdr:colOff>12700</xdr:colOff>
                    <xdr:row>25</xdr:row>
                    <xdr:rowOff>0</xdr:rowOff>
                  </from>
                  <to>
                    <xdr:col>10</xdr:col>
                    <xdr:colOff>88900</xdr:colOff>
                    <xdr:row>26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9</xdr:col>
                    <xdr:colOff>12700</xdr:colOff>
                    <xdr:row>26</xdr:row>
                    <xdr:rowOff>0</xdr:rowOff>
                  </from>
                  <to>
                    <xdr:col>10</xdr:col>
                    <xdr:colOff>88900</xdr:colOff>
                    <xdr:row>27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3" r:id="rId12" name="Check Box 49">
              <controlPr defaultSize="0" autoFill="0" autoLine="0" autoPict="0">
                <anchor moveWithCells="1">
                  <from>
                    <xdr:col>9</xdr:col>
                    <xdr:colOff>12700</xdr:colOff>
                    <xdr:row>27</xdr:row>
                    <xdr:rowOff>0</xdr:rowOff>
                  </from>
                  <to>
                    <xdr:col>10</xdr:col>
                    <xdr:colOff>88900</xdr:colOff>
                    <xdr:row>28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4" r:id="rId13" name="Check Box 50">
              <controlPr defaultSize="0" autoFill="0" autoLine="0" autoPict="0">
                <anchor moveWithCells="1">
                  <from>
                    <xdr:col>9</xdr:col>
                    <xdr:colOff>12700</xdr:colOff>
                    <xdr:row>28</xdr:row>
                    <xdr:rowOff>0</xdr:rowOff>
                  </from>
                  <to>
                    <xdr:col>10</xdr:col>
                    <xdr:colOff>88900</xdr:colOff>
                    <xdr:row>29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9" id="{9F3FD96C-5E26-4D41-87E3-B498E8E19149}">
            <xm:f>(VLOOKUP(A15,Adattábla!L:AD,19,FALSE)-SUM(L18:W18))&lt;0</xm:f>
            <x14:dxf>
              <fill>
                <patternFill>
                  <bgColor rgb="FFFF3B3B"/>
                </patternFill>
              </fill>
            </x14:dxf>
          </x14:cfRule>
          <xm:sqref>E16:H16</xm:sqref>
        </x14:conditionalFormatting>
        <x14:conditionalFormatting xmlns:xm="http://schemas.microsoft.com/office/excel/2006/main">
          <x14:cfRule type="expression" priority="55" id="{943CA76D-350A-415A-BEE3-F9A4874502E6}">
            <xm:f>$O$18&lt;IF(P5="Váltott kaszt",VLOOKUP(P3,Adattábla!L:AE,20,FALSE)+VLOOKUP(P4,Adattábla!L:AE,20,FALSE),VLOOKUP(A15,Adattábla!L:AE,20,FALSE))</xm:f>
            <x14:dxf>
              <fill>
                <patternFill>
                  <bgColor theme="5" tint="0.39994506668294322"/>
                </patternFill>
              </fill>
            </x14:dxf>
          </x14:cfRule>
          <xm:sqref>O18:Q18</xm:sqref>
        </x14:conditionalFormatting>
        <x14:conditionalFormatting xmlns:xm="http://schemas.microsoft.com/office/excel/2006/main">
          <x14:cfRule type="expression" priority="62" id="{1D17C7BF-3222-4CE3-BE7F-C591B97BC12F}">
            <xm:f>$R$18&lt;IF(P5="Váltott kaszt",VLOOKUP(P3,Adattábla!L:AG,21,FALSE)+VLOOKUP(P4,Adattábla!L:AG,21,FALSE),VLOOKUP(A15,Adattábla!L:AG,21,FALSE))</xm:f>
            <x14:dxf>
              <fill>
                <patternFill>
                  <bgColor theme="5" tint="0.39994506668294322"/>
                </patternFill>
              </fill>
            </x14:dxf>
          </x14:cfRule>
          <xm:sqref>R18</xm:sqref>
        </x14:conditionalFormatting>
        <x14:conditionalFormatting xmlns:xm="http://schemas.microsoft.com/office/excel/2006/main">
          <x14:cfRule type="cellIs" priority="14" operator="lessThan" id="{D6974DD4-01BF-4567-A341-CFED8F0C5DEE}">
            <xm:f>Adattábla!$C$36</xm:f>
            <x14:dxf>
              <fill>
                <patternFill>
                  <bgColor rgb="FFFFC7CE"/>
                </patternFill>
              </fill>
            </x14:dxf>
          </x14:cfRule>
          <x14:cfRule type="cellIs" priority="26" operator="greaterThan" id="{ECB5180C-E4BF-48BE-9CCB-3DAFA7DF9F08}">
            <xm:f>Adattábla!$C$37</xm:f>
            <x14:dxf>
              <font>
                <color auto="1"/>
              </font>
              <fill>
                <patternFill>
                  <bgColor rgb="FFFFC7CE"/>
                </patternFill>
              </fill>
            </x14:dxf>
          </x14:cfRule>
          <xm:sqref>F3</xm:sqref>
        </x14:conditionalFormatting>
        <x14:conditionalFormatting xmlns:xm="http://schemas.microsoft.com/office/excel/2006/main">
          <x14:cfRule type="cellIs" priority="13" operator="lessThan" id="{1B0D297B-6203-4F67-8464-BB181A66F0AF}">
            <xm:f>Adattábla!$D$36</xm:f>
            <x14:dxf>
              <fill>
                <patternFill>
                  <bgColor rgb="FFFFC7CE"/>
                </patternFill>
              </fill>
            </x14:dxf>
          </x14:cfRule>
          <x14:cfRule type="cellIs" priority="25" operator="greaterThan" id="{AA2CDDAC-481D-48C4-9F82-A374F57F4355}">
            <xm:f>Adattábla!$D$37</xm:f>
            <x14:dxf>
              <font>
                <color auto="1"/>
              </font>
              <fill>
                <patternFill>
                  <bgColor rgb="FFFFC7CE"/>
                </patternFill>
              </fill>
            </x14:dxf>
          </x14:cfRule>
          <xm:sqref>F4</xm:sqref>
        </x14:conditionalFormatting>
        <x14:conditionalFormatting xmlns:xm="http://schemas.microsoft.com/office/excel/2006/main">
          <x14:cfRule type="cellIs" priority="12" operator="lessThan" id="{94190E17-6319-4FF9-B410-491ABA2FC76D}">
            <xm:f>Adattábla!$E$36</xm:f>
            <x14:dxf>
              <fill>
                <patternFill>
                  <bgColor rgb="FFFFC7CE"/>
                </patternFill>
              </fill>
            </x14:dxf>
          </x14:cfRule>
          <x14:cfRule type="cellIs" priority="24" operator="greaterThan" id="{18240DC0-BDD2-490E-B2A9-18272FE1D6DD}">
            <xm:f>Adattábla!$E$37</xm:f>
            <x14:dxf>
              <fill>
                <patternFill>
                  <bgColor rgb="FFFFC7CE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cellIs" priority="11" operator="lessThan" id="{360127C3-1CBA-453B-B044-E2D10EF20BC7}">
            <xm:f>Adattábla!$F$36</xm:f>
            <x14:dxf>
              <fill>
                <patternFill>
                  <bgColor rgb="FFFFC7CE"/>
                </patternFill>
              </fill>
            </x14:dxf>
          </x14:cfRule>
          <x14:cfRule type="cellIs" priority="23" operator="greaterThan" id="{5FDA2B1D-4918-4559-BBE5-5E90C1B06BE7}">
            <xm:f>Adattábla!$F$37</xm:f>
            <x14:dxf>
              <fill>
                <patternFill>
                  <bgColor rgb="FFFFC7CE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cellIs" priority="10" operator="lessThan" id="{221C05D7-0DAC-45C8-99A4-C1A783CAAAD8}">
            <xm:f>Adattábla!$G$36</xm:f>
            <x14:dxf>
              <fill>
                <patternFill>
                  <bgColor rgb="FFFFC7CE"/>
                </patternFill>
              </fill>
            </x14:dxf>
          </x14:cfRule>
          <x14:cfRule type="cellIs" priority="22" operator="greaterThan" id="{7BB68555-94F5-4F29-89D7-BCCE33D941A9}">
            <xm:f>Adattábla!$G$37</xm:f>
            <x14:dxf>
              <fill>
                <patternFill>
                  <bgColor rgb="FFFFC7CE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cellIs" priority="9" operator="lessThan" id="{B1EEF230-2A26-49E1-B8E4-9635DB970444}">
            <xm:f>Adattábla!$H$36</xm:f>
            <x14:dxf>
              <fill>
                <patternFill>
                  <bgColor rgb="FFFFC7CE"/>
                </patternFill>
              </fill>
            </x14:dxf>
          </x14:cfRule>
          <x14:cfRule type="cellIs" priority="21" operator="greaterThan" id="{397A7047-7695-43C1-BA3A-F8D962697206}">
            <xm:f>Adattábla!$H$37</xm:f>
            <x14:dxf>
              <fill>
                <patternFill>
                  <bgColor rgb="FFFFC7CE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cellIs" priority="8" operator="lessThan" id="{FEB3D98D-A577-44B1-9FDD-DFAFE3E484CF}">
            <xm:f>Adattábla!$I$36</xm:f>
            <x14:dxf>
              <fill>
                <patternFill>
                  <bgColor rgb="FFFFC7CE"/>
                </patternFill>
              </fill>
            </x14:dxf>
          </x14:cfRule>
          <x14:cfRule type="cellIs" priority="20" operator="greaterThan" id="{6FD96B0B-E885-441F-BBCB-0CC5F436E8AA}">
            <xm:f>Adattábla!$I$37</xm:f>
            <x14:dxf>
              <fill>
                <patternFill>
                  <bgColor rgb="FFFFC7CE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cellIs" priority="6" operator="lessThan" id="{90DD958F-F2F3-4744-AC0E-A896858F52BA}">
            <xm:f>Adattábla!$J$36</xm:f>
            <x14:dxf>
              <fill>
                <patternFill>
                  <bgColor rgb="FFFFC7CE"/>
                </patternFill>
              </fill>
            </x14:dxf>
          </x14:cfRule>
          <x14:cfRule type="cellIs" priority="18" operator="greaterThan" id="{3F9BBB29-963D-45C8-8707-ABB82C21C674}">
            <xm:f>Adattábla!$J$37</xm:f>
            <x14:dxf>
              <fill>
                <patternFill>
                  <bgColor rgb="FFFFC7CE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ellIs" priority="7" operator="lessThan" id="{127D016A-96C1-4BE1-A18F-A2C52550D3FB}">
            <xm:f>Adattábla!$K$36</xm:f>
            <x14:dxf>
              <fill>
                <patternFill>
                  <bgColor rgb="FFFFC7CE"/>
                </patternFill>
              </fill>
            </x14:dxf>
          </x14:cfRule>
          <x14:cfRule type="cellIs" priority="16" operator="greaterThan" id="{42642873-4BCF-463E-AB8E-0ED672AFE3D9}">
            <xm:f>Adattábla!$K$37</xm:f>
            <x14:dxf>
              <fill>
                <patternFill>
                  <bgColor rgb="FFFFC7CE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ellIs" priority="5" operator="lessThan" id="{57E2BFA6-5779-4B3A-9BAC-5990913CC6DE}">
            <xm:f>Adattábla!$B$36</xm:f>
            <x14:dxf>
              <fill>
                <patternFill>
                  <bgColor rgb="FFFFC7CE"/>
                </patternFill>
              </fill>
            </x14:dxf>
          </x14:cfRule>
          <x14:cfRule type="cellIs" priority="15" operator="greaterThan" id="{37E8C2CA-0855-40A1-9E9C-8D4E73C74ACB}">
            <xm:f>Adattábla!$B$37</xm:f>
            <x14:dxf>
              <fill>
                <patternFill>
                  <bgColor rgb="FFFFC7CE"/>
                </patternFill>
              </fill>
            </x14:dxf>
          </x14:cfRule>
          <xm:sqref>F12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Adattábla!$E$6:$E$7</xm:f>
          </x14:formula1>
          <xm:sqref>P5:T5</xm:sqref>
        </x14:dataValidation>
        <x14:dataValidation type="list" allowBlank="1" showInputMessage="1" showErrorMessage="1">
          <x14:formula1>
            <xm:f>Adattábla!$A$24:$A$31</xm:f>
          </x14:formula1>
          <xm:sqref>V7:Z7</xm:sqref>
        </x14:dataValidation>
        <x14:dataValidation type="list" allowBlank="1">
          <x14:formula1>
            <xm:f>Fegyverek!$A$3:$A$206</xm:f>
          </x14:formula1>
          <xm:sqref>A20:F20</xm:sqref>
        </x14:dataValidation>
        <x14:dataValidation type="list" allowBlank="1">
          <x14:formula1>
            <xm:f>Fegyverek!$A$3:$A$206</xm:f>
          </x14:formula1>
          <xm:sqref>A21:F21</xm:sqref>
        </x14:dataValidation>
        <x14:dataValidation type="list" allowBlank="1">
          <x14:formula1>
            <xm:f>Fegyverek!$A$3:$A$206</xm:f>
          </x14:formula1>
          <xm:sqref>A22:F22</xm:sqref>
        </x14:dataValidation>
        <x14:dataValidation type="list" allowBlank="1">
          <x14:formula1>
            <xm:f>Fegyverek!$A$3:$A$206</xm:f>
          </x14:formula1>
          <xm:sqref>A23:F23</xm:sqref>
        </x14:dataValidation>
        <x14:dataValidation type="list" allowBlank="1">
          <x14:formula1>
            <xm:f>Fegyverek!$A$3:$A$206</xm:f>
          </x14:formula1>
          <xm:sqref>A24:F24</xm:sqref>
        </x14:dataValidation>
        <x14:dataValidation type="list" allowBlank="1">
          <x14:formula1>
            <xm:f>Fegyverek!$A$3:$A$206</xm:f>
          </x14:formula1>
          <xm:sqref>A25:F25</xm:sqref>
        </x14:dataValidation>
        <x14:dataValidation type="list" allowBlank="1">
          <x14:formula1>
            <xm:f>Fegyverek!$A$3:$A$206</xm:f>
          </x14:formula1>
          <xm:sqref>A26:F26</xm:sqref>
        </x14:dataValidation>
        <x14:dataValidation type="list" allowBlank="1">
          <x14:formula1>
            <xm:f>Fegyverek!$A$3:$A$206</xm:f>
          </x14:formula1>
          <xm:sqref>A27:F27</xm:sqref>
        </x14:dataValidation>
        <x14:dataValidation type="list" allowBlank="1">
          <x14:formula1>
            <xm:f>Fegyverek!$A$3:$A$206</xm:f>
          </x14:formula1>
          <xm:sqref>A28:F28</xm:sqref>
        </x14:dataValidation>
        <x14:dataValidation type="list" allowBlank="1">
          <x14:formula1>
            <xm:f>Fegyverek!$A$3:$A$206</xm:f>
          </x14:formula1>
          <xm:sqref>A29:F29</xm:sqref>
        </x14:dataValidation>
        <x14:dataValidation type="list" allowBlank="1">
          <x14:formula1>
            <xm:f>Adattábla!$A$40:$A$68</xm:f>
          </x14:formula1>
          <xm:sqref>AA36:AG43</xm:sqref>
        </x14:dataValidation>
        <x14:dataValidation type="list" allowBlank="1">
          <x14:formula1>
            <xm:f>Adattábla!$C$40:$C$50</xm:f>
          </x14:formula1>
          <xm:sqref>AA45:AG46</xm:sqref>
        </x14:dataValidation>
        <x14:dataValidation type="list" allowBlank="1" showInputMessage="1" showErrorMessage="1">
          <x14:formula1>
            <xm:f>Adattábla!$L$2:$L$111</xm:f>
          </x14:formula1>
          <xm:sqref>P4:U4</xm:sqref>
        </x14:dataValidation>
        <x14:dataValidation type="list" allowBlank="1" showInputMessage="1" showErrorMessage="1">
          <x14:formula1>
            <xm:f>Adattábla!$L$2:$L$111</xm:f>
          </x14:formula1>
          <xm:sqref>P3:U3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9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668</v>
      </c>
      <c r="B2" s="147"/>
      <c r="C2" s="147"/>
      <c r="D2" s="147"/>
      <c r="E2" s="147"/>
      <c r="F2" s="147"/>
      <c r="G2" s="21"/>
      <c r="H2" s="147" t="s">
        <v>652</v>
      </c>
      <c r="I2" s="174"/>
      <c r="J2" s="146"/>
      <c r="K2" s="147"/>
      <c r="L2" s="147"/>
      <c r="M2" s="147"/>
      <c r="N2" s="147"/>
      <c r="O2" s="147"/>
      <c r="P2" s="21"/>
      <c r="Q2" s="23"/>
      <c r="R2" s="146" t="s">
        <v>644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671</v>
      </c>
      <c r="B3" s="147"/>
      <c r="C3" s="147"/>
      <c r="D3" s="147"/>
      <c r="E3" s="147"/>
      <c r="F3" s="147"/>
      <c r="G3" s="21"/>
      <c r="H3" s="147" t="s">
        <v>652</v>
      </c>
      <c r="I3" s="174"/>
      <c r="J3" s="146"/>
      <c r="K3" s="147"/>
      <c r="L3" s="147"/>
      <c r="M3" s="147"/>
      <c r="N3" s="147"/>
      <c r="O3" s="147"/>
      <c r="P3" s="21"/>
      <c r="Q3" s="23"/>
      <c r="R3" s="146" t="s">
        <v>645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677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/>
      <c r="K4" s="147"/>
      <c r="L4" s="147"/>
      <c r="M4" s="147"/>
      <c r="N4" s="147"/>
      <c r="O4" s="147"/>
      <c r="P4" s="21"/>
      <c r="Q4" s="23"/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tr">
        <f>IF(Karakterlap!$Y$3&gt;3,"1 fegyver használat","")</f>
        <v/>
      </c>
      <c r="B5" s="147"/>
      <c r="C5" s="147"/>
      <c r="D5" s="147"/>
      <c r="E5" s="147"/>
      <c r="F5" s="147"/>
      <c r="G5" s="21"/>
      <c r="H5" s="147" t="str">
        <f>IF(Karakterlap!$Y$3&gt;3,"Af","")</f>
        <v/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tr">
        <f>IF(Karakterlap!$Y$3&gt;3,"hadvezetés","")</f>
        <v/>
      </c>
      <c r="B6" s="147"/>
      <c r="C6" s="147"/>
      <c r="D6" s="147"/>
      <c r="E6" s="147"/>
      <c r="F6" s="147"/>
      <c r="G6" s="21"/>
      <c r="H6" s="147" t="str">
        <f>IF(Karakterlap!$Y$3&gt;3,"Af","")</f>
        <v/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99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946</v>
      </c>
      <c r="K2" s="147"/>
      <c r="L2" s="147"/>
      <c r="M2" s="147"/>
      <c r="N2" s="147"/>
      <c r="O2" s="147"/>
      <c r="P2" s="21"/>
      <c r="Q2" s="23" t="s">
        <v>652</v>
      </c>
      <c r="R2" s="146" t="s">
        <v>665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948</v>
      </c>
      <c r="B3" s="147"/>
      <c r="C3" s="147"/>
      <c r="D3" s="147"/>
      <c r="E3" s="147"/>
      <c r="F3" s="147"/>
      <c r="G3" s="21"/>
      <c r="H3" s="147" t="str">
        <f>IF(Karakterlap!$Y$3&gt;4,"Mf","Af")</f>
        <v>Af</v>
      </c>
      <c r="I3" s="174"/>
      <c r="J3" s="146"/>
      <c r="K3" s="147"/>
      <c r="L3" s="147"/>
      <c r="M3" s="147"/>
      <c r="N3" s="147"/>
      <c r="O3" s="147"/>
      <c r="P3" s="21"/>
      <c r="Q3" s="23"/>
      <c r="R3" s="146" t="s">
        <v>643</v>
      </c>
      <c r="S3" s="147"/>
      <c r="T3" s="147"/>
      <c r="U3" s="147"/>
      <c r="V3" s="147"/>
      <c r="W3" s="147"/>
      <c r="X3" s="21"/>
      <c r="Y3" s="147" t="str">
        <f>IF(Karakterlap!$Y$3&gt;2,"Mf","Af")</f>
        <v>Af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669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644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657</v>
      </c>
      <c r="B5" s="147"/>
      <c r="C5" s="147"/>
      <c r="D5" s="147"/>
      <c r="E5" s="147"/>
      <c r="F5" s="147"/>
      <c r="G5" s="21"/>
      <c r="H5" s="147" t="str">
        <f>IF(Karakterlap!$Y$3&gt;4,"Mf","Af")</f>
        <v>Af</v>
      </c>
      <c r="I5" s="174"/>
      <c r="J5" s="146"/>
      <c r="K5" s="147"/>
      <c r="L5" s="147"/>
      <c r="M5" s="147"/>
      <c r="N5" s="147"/>
      <c r="O5" s="147"/>
      <c r="P5" s="21"/>
      <c r="Q5" s="23"/>
      <c r="R5" s="146" t="s">
        <v>645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947</v>
      </c>
      <c r="B6" s="147"/>
      <c r="C6" s="147"/>
      <c r="D6" s="147"/>
      <c r="E6" s="147"/>
      <c r="F6" s="147"/>
      <c r="G6" s="21"/>
      <c r="H6" s="147" t="str">
        <f>IF(Karakterlap!$Y$3&gt;3,"Mf","Af")</f>
        <v>Af</v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 t="s">
        <v>687</v>
      </c>
      <c r="B7" s="147"/>
      <c r="C7" s="147"/>
      <c r="D7" s="147"/>
      <c r="E7" s="147"/>
      <c r="F7" s="147"/>
      <c r="G7" s="21"/>
      <c r="H7" s="147" t="s">
        <v>642</v>
      </c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 t="s">
        <v>672</v>
      </c>
      <c r="B8" s="147"/>
      <c r="C8" s="147"/>
      <c r="D8" s="147"/>
      <c r="E8" s="147"/>
      <c r="F8" s="147"/>
      <c r="G8" s="21"/>
      <c r="H8" s="147" t="s">
        <v>642</v>
      </c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 t="s">
        <v>670</v>
      </c>
      <c r="B9" s="147"/>
      <c r="C9" s="147"/>
      <c r="D9" s="147"/>
      <c r="E9" s="147"/>
      <c r="F9" s="147"/>
      <c r="G9" s="21"/>
      <c r="H9" s="147" t="s">
        <v>642</v>
      </c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0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906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">
        <v>652</v>
      </c>
      <c r="R2" s="146" t="s">
        <v>654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710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647</v>
      </c>
      <c r="K3" s="147"/>
      <c r="L3" s="147"/>
      <c r="M3" s="147"/>
      <c r="N3" s="147"/>
      <c r="O3" s="147"/>
      <c r="P3" s="21"/>
      <c r="Q3" s="23" t="str">
        <f>IF(Karakterlap!$Y$3&gt;4,"Mf","Af")</f>
        <v>Af</v>
      </c>
      <c r="R3" s="146"/>
      <c r="S3" s="147"/>
      <c r="T3" s="147"/>
      <c r="U3" s="147"/>
      <c r="V3" s="147"/>
      <c r="W3" s="147"/>
      <c r="X3" s="21"/>
      <c r="Y3" s="147"/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3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659</v>
      </c>
      <c r="K4" s="147"/>
      <c r="L4" s="147"/>
      <c r="M4" s="147"/>
      <c r="N4" s="147"/>
      <c r="O4" s="147"/>
      <c r="P4" s="21"/>
      <c r="Q4" s="23" t="s">
        <v>642</v>
      </c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>
        <v>3</v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 t="s">
        <v>830</v>
      </c>
      <c r="K5" s="147"/>
      <c r="L5" s="147"/>
      <c r="M5" s="147"/>
      <c r="N5" s="147"/>
      <c r="O5" s="147"/>
      <c r="P5" s="21"/>
      <c r="Q5" s="23" t="str">
        <f>IF(Karakterlap!$Y$3&gt;3,"Mf","Af")</f>
        <v>Af</v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705</v>
      </c>
      <c r="K6" s="147"/>
      <c r="L6" s="147"/>
      <c r="M6" s="147"/>
      <c r="N6" s="147"/>
      <c r="O6" s="147"/>
      <c r="P6" s="21"/>
      <c r="Q6" s="23" t="s">
        <v>642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1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789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">
        <v>652</v>
      </c>
      <c r="R2" s="146"/>
      <c r="S2" s="147"/>
      <c r="T2" s="147"/>
      <c r="U2" s="147"/>
      <c r="V2" s="147"/>
      <c r="W2" s="147"/>
      <c r="X2" s="21"/>
      <c r="Y2" s="147"/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710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/>
      <c r="S3" s="147"/>
      <c r="T3" s="147"/>
      <c r="U3" s="147"/>
      <c r="V3" s="147"/>
      <c r="W3" s="147"/>
      <c r="X3" s="21"/>
      <c r="Y3" s="147"/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3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830</v>
      </c>
      <c r="K4" s="147"/>
      <c r="L4" s="147"/>
      <c r="M4" s="147"/>
      <c r="N4" s="147"/>
      <c r="O4" s="147"/>
      <c r="P4" s="21"/>
      <c r="Q4" s="23" t="str">
        <f>IF(Karakterlap!$Y$3&gt;3,"Mf","Af")</f>
        <v>Af</v>
      </c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>
        <v>3</v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 t="str">
        <f>IF(Karakterlap!$Y$3&gt;5,"herbalizmus","")</f>
        <v/>
      </c>
      <c r="K5" s="147"/>
      <c r="L5" s="147"/>
      <c r="M5" s="147"/>
      <c r="N5" s="147"/>
      <c r="O5" s="147"/>
      <c r="P5" s="21"/>
      <c r="Q5" s="23" t="str">
        <f>IF(Karakterlap!$Y$3&gt;5,"Mf","")</f>
        <v/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>
        <v>2</v>
      </c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">
        <v>760</v>
      </c>
      <c r="B12" s="147"/>
      <c r="C12" s="147"/>
      <c r="D12" s="147"/>
      <c r="E12" s="147"/>
      <c r="F12" s="147"/>
      <c r="G12" s="21"/>
      <c r="H12" s="147" t="s">
        <v>642</v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str">
        <f>IF(Karakterlap!$Y$3&gt;1,"hátbaszúrás","")</f>
        <v/>
      </c>
      <c r="B13" s="147"/>
      <c r="C13" s="147"/>
      <c r="D13" s="147"/>
      <c r="E13" s="147"/>
      <c r="F13" s="147"/>
      <c r="G13" s="21"/>
      <c r="H13" s="147" t="str">
        <f>IF(Karakterlap!$Y$3&lt;2,"",IF(Karakterlap!$Y$3&gt;4,"Mf","Af"))</f>
        <v/>
      </c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0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2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">
        <v>652</v>
      </c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726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4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/>
      <c r="K4" s="147"/>
      <c r="L4" s="147"/>
      <c r="M4" s="147"/>
      <c r="N4" s="147"/>
      <c r="O4" s="147"/>
      <c r="P4" s="21"/>
      <c r="Q4" s="23"/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>
        <v>3</v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3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">
        <v>652</v>
      </c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tr">
        <f>IF(Karakterlap!$Y$3&gt;4,"fegy.hasz.(lángkard)","")</f>
        <v/>
      </c>
      <c r="B3" s="147"/>
      <c r="C3" s="147"/>
      <c r="D3" s="147"/>
      <c r="E3" s="147"/>
      <c r="F3" s="147"/>
      <c r="G3" s="21"/>
      <c r="H3" s="147" t="str">
        <f>IF(Karakterlap!$Y$3&gt;4,"Mf","")</f>
        <v/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726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4</v>
      </c>
      <c r="AJ3" s="174"/>
    </row>
    <row r="4" spans="1:36" x14ac:dyDescent="0.2">
      <c r="A4" s="146" t="str">
        <f>IF(Karakterlap!$Y$3&gt;4,"hadvezetés","")</f>
        <v/>
      </c>
      <c r="B4" s="147"/>
      <c r="C4" s="147"/>
      <c r="D4" s="147"/>
      <c r="E4" s="147"/>
      <c r="F4" s="147"/>
      <c r="G4" s="21"/>
      <c r="H4" s="147" t="str">
        <f>IF(Karakterlap!$Y$3&lt;5,"",IF(Karakterlap!$Y$3&gt;10,"Mf","Af"))</f>
        <v/>
      </c>
      <c r="I4" s="174"/>
      <c r="J4" s="146" t="str">
        <f>IF(Karakterlap!$Y$3&gt;4,"történelemismeret","")</f>
        <v/>
      </c>
      <c r="K4" s="147"/>
      <c r="L4" s="147"/>
      <c r="M4" s="147"/>
      <c r="N4" s="147"/>
      <c r="O4" s="147"/>
      <c r="P4" s="21"/>
      <c r="Q4" s="23" t="str">
        <f>IF(Karakterlap!$Y$3&gt;4,"Af","")</f>
        <v/>
      </c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>
        <v>3</v>
      </c>
      <c r="AJ4" s="174"/>
    </row>
    <row r="5" spans="1:36" x14ac:dyDescent="0.2">
      <c r="A5" s="146" t="str">
        <f>IF(Karakterlap!$Y$3&gt;4,"hadrend","")</f>
        <v/>
      </c>
      <c r="B5" s="147"/>
      <c r="C5" s="147"/>
      <c r="D5" s="147"/>
      <c r="E5" s="147"/>
      <c r="F5" s="147"/>
      <c r="G5" s="21"/>
      <c r="H5" s="147" t="str">
        <f>IF(Karakterlap!$Y$3&lt;5,"",IF(Karakterlap!$Y$3&gt;6,"Mf","Af"))</f>
        <v/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4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">
        <v>652</v>
      </c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726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4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tr">
        <f>IF(Karakterlap!$Y$3&gt;4,"történelemismeret","")</f>
        <v/>
      </c>
      <c r="K4" s="147"/>
      <c r="L4" s="147"/>
      <c r="M4" s="147"/>
      <c r="N4" s="147"/>
      <c r="O4" s="147"/>
      <c r="P4" s="21"/>
      <c r="Q4" s="23" t="str">
        <f>IF(Karakterlap!$Y$3&lt;5,"",IF(Karakterlap!$Y$3&gt;7,"Mf","Af"))</f>
        <v/>
      </c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>
        <v>3</v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 t="str">
        <f>IF(Karakterlap!$Y$3&gt;4,"legendaismeret","")</f>
        <v/>
      </c>
      <c r="K5" s="147"/>
      <c r="L5" s="147"/>
      <c r="M5" s="147"/>
      <c r="N5" s="147"/>
      <c r="O5" s="147"/>
      <c r="P5" s="21"/>
      <c r="Q5" s="23" t="str">
        <f>IF(Karakterlap!$Y$3&gt;4,"Af","")</f>
        <v/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 t="str">
        <f>IF(Karakterlap!$Y$3&gt;4,"godoni","")</f>
        <v/>
      </c>
      <c r="AB11" s="147"/>
      <c r="AC11" s="147"/>
      <c r="AD11" s="147"/>
      <c r="AE11" s="147"/>
      <c r="AF11" s="147"/>
      <c r="AG11" s="147"/>
      <c r="AH11" s="21"/>
      <c r="AI11" s="147" t="str">
        <f>IF(Karakterlap!$Y$3&lt;5,"",IF(Karakterlap!$Y$3&gt;10,"Mf","Af"))</f>
        <v/>
      </c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0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5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">
        <v>652</v>
      </c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726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4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tr">
        <f>IF(Karakterlap!$Y$3&gt;4,"vallásismeret","")</f>
        <v/>
      </c>
      <c r="K4" s="147"/>
      <c r="L4" s="147"/>
      <c r="M4" s="147"/>
      <c r="N4" s="147"/>
      <c r="O4" s="147"/>
      <c r="P4" s="21"/>
      <c r="Q4" s="23" t="str">
        <f>IF(Karakterlap!$Y$3&gt;4,"Mf","")</f>
        <v/>
      </c>
      <c r="R4" s="146" t="str">
        <f>IF(Karakterlap!$Y$3&gt;4,"ének/zene","")</f>
        <v/>
      </c>
      <c r="S4" s="147"/>
      <c r="T4" s="147"/>
      <c r="U4" s="147"/>
      <c r="V4" s="147"/>
      <c r="W4" s="147"/>
      <c r="X4" s="21"/>
      <c r="Y4" s="147" t="str">
        <f>IF(Karakterlap!$Y$3&gt;4,"Af","")</f>
        <v/>
      </c>
      <c r="Z4" s="174"/>
      <c r="AA4" s="168"/>
      <c r="AB4" s="147"/>
      <c r="AC4" s="147"/>
      <c r="AD4" s="147"/>
      <c r="AE4" s="147"/>
      <c r="AF4" s="147"/>
      <c r="AG4" s="147"/>
      <c r="AH4" s="21"/>
      <c r="AI4" s="147">
        <v>3</v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 t="str">
        <f>IF(Karakterlap!$Y$3&gt;4,"történelemismeret","")</f>
        <v/>
      </c>
      <c r="K5" s="147"/>
      <c r="L5" s="147"/>
      <c r="M5" s="147"/>
      <c r="N5" s="147"/>
      <c r="O5" s="147"/>
      <c r="P5" s="21"/>
      <c r="Q5" s="23" t="str">
        <f>IF(Karakterlap!$Y$3&gt;4,"Mf","")</f>
        <v/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tr">
        <f>IF(Karakterlap!$Y$3&gt;4,"legendaismeret","")</f>
        <v/>
      </c>
      <c r="K6" s="147"/>
      <c r="L6" s="147"/>
      <c r="M6" s="147"/>
      <c r="N6" s="147"/>
      <c r="O6" s="147"/>
      <c r="P6" s="21"/>
      <c r="Q6" s="23" t="str">
        <f>IF(Karakterlap!$Y$3&lt;5,"",IF(Karakterlap!$Y$3&gt;5,"Mf","Af"))</f>
        <v/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tr">
        <f>IF(Karakterlap!$Y$3&gt;4,"emberismeret","")</f>
        <v/>
      </c>
      <c r="K7" s="147"/>
      <c r="L7" s="147"/>
      <c r="M7" s="147"/>
      <c r="N7" s="147"/>
      <c r="O7" s="147"/>
      <c r="P7" s="21"/>
      <c r="Q7" s="23" t="str">
        <f>IF(Karakterlap!$Y$3&lt;5,"",IF(Karakterlap!$Y$3&gt;7,"Mf","Af"))</f>
        <v/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 t="str">
        <f>IF(Karakterlap!$Y$3&gt;4,"(ó)kyr","")</f>
        <v/>
      </c>
      <c r="AB11" s="147"/>
      <c r="AC11" s="147"/>
      <c r="AD11" s="147"/>
      <c r="AE11" s="147"/>
      <c r="AF11" s="147"/>
      <c r="AG11" s="147"/>
      <c r="AH11" s="21"/>
      <c r="AI11" s="147" t="str">
        <f>IF(Karakterlap!$Y$3&lt;5,"",IF(Karakterlap!$Y$3&gt;6,"Mf","Af"))</f>
        <v/>
      </c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0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6" enableFormatConditionsCalculation="0"/>
  <dimension ref="A1:AJ17"/>
  <sheetViews>
    <sheetView workbookViewId="0">
      <selection activeCell="A12" sqref="A12:I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">
        <v>652</v>
      </c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954</v>
      </c>
      <c r="B3" s="147"/>
      <c r="C3" s="147"/>
      <c r="D3" s="147"/>
      <c r="E3" s="147"/>
      <c r="F3" s="147"/>
      <c r="G3" s="21"/>
      <c r="H3" s="147" t="str">
        <f>IF(Karakterlap!$Y$3&gt;4,"Mf","Af")</f>
        <v>Af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726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669</v>
      </c>
      <c r="B4" s="147"/>
      <c r="C4" s="147"/>
      <c r="D4" s="147"/>
      <c r="E4" s="147"/>
      <c r="F4" s="147"/>
      <c r="G4" s="21"/>
      <c r="H4" s="147" t="str">
        <f>IF(Karakterlap!$Y$3&gt;2,"Mf","Af")</f>
        <v>Af</v>
      </c>
      <c r="I4" s="174"/>
      <c r="J4" s="146" t="s">
        <v>952</v>
      </c>
      <c r="K4" s="147"/>
      <c r="L4" s="147"/>
      <c r="M4" s="147"/>
      <c r="N4" s="147"/>
      <c r="O4" s="147"/>
      <c r="P4" s="21"/>
      <c r="Q4" s="23" t="s">
        <v>652</v>
      </c>
      <c r="R4" s="146" t="s">
        <v>644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656</v>
      </c>
      <c r="B5" s="147"/>
      <c r="C5" s="147"/>
      <c r="D5" s="147"/>
      <c r="E5" s="147"/>
      <c r="F5" s="147"/>
      <c r="G5" s="21"/>
      <c r="H5" s="147" t="s">
        <v>642</v>
      </c>
      <c r="I5" s="174"/>
      <c r="J5" s="146" t="s">
        <v>953</v>
      </c>
      <c r="K5" s="147"/>
      <c r="L5" s="147"/>
      <c r="M5" s="147"/>
      <c r="N5" s="147"/>
      <c r="O5" s="147"/>
      <c r="P5" s="21"/>
      <c r="Q5" s="23" t="s">
        <v>642</v>
      </c>
      <c r="R5" s="146" t="s">
        <v>645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678</v>
      </c>
      <c r="B6" s="147"/>
      <c r="C6" s="147"/>
      <c r="D6" s="147"/>
      <c r="E6" s="147"/>
      <c r="F6" s="147"/>
      <c r="G6" s="21"/>
      <c r="H6" s="147" t="str">
        <f>IF(Karakterlap!$Y$3&gt;3,"Mf","Af")</f>
        <v>Af</v>
      </c>
      <c r="I6" s="174"/>
      <c r="J6" s="146" t="s">
        <v>705</v>
      </c>
      <c r="K6" s="147"/>
      <c r="L6" s="147"/>
      <c r="M6" s="147"/>
      <c r="N6" s="147"/>
      <c r="O6" s="147"/>
      <c r="P6" s="21"/>
      <c r="Q6" s="23" t="str">
        <f>IF(Karakterlap!$Y$3&gt;3,"Mf","Af")</f>
        <v>Af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341" t="str">
        <f>IF(Karakterlap!$Y$3&gt;1,"fegy.dob.(lándzsa)","")</f>
        <v/>
      </c>
      <c r="B7" s="342"/>
      <c r="C7" s="342"/>
      <c r="D7" s="342"/>
      <c r="E7" s="342"/>
      <c r="F7" s="168"/>
      <c r="G7" s="21"/>
      <c r="H7" s="147" t="str">
        <f>IF(Karakterlap!$Y$3&gt;1,"Af","")</f>
        <v/>
      </c>
      <c r="I7" s="174"/>
      <c r="J7" s="146" t="str">
        <f>IF(Karakterlap!$Y$3&gt;2,"történelemismeret","")</f>
        <v/>
      </c>
      <c r="K7" s="147"/>
      <c r="L7" s="147"/>
      <c r="M7" s="147"/>
      <c r="N7" s="147"/>
      <c r="O7" s="147"/>
      <c r="P7" s="21"/>
      <c r="Q7" s="23" t="str">
        <f>IF(Karakterlap!$Y$3&gt;2,"Af","")</f>
        <v/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 t="str">
        <f>IF(Karakterlap!$Y$3&gt;1,"vakharc","")</f>
        <v/>
      </c>
      <c r="B8" s="147"/>
      <c r="C8" s="147"/>
      <c r="D8" s="147"/>
      <c r="E8" s="147"/>
      <c r="F8" s="147"/>
      <c r="G8" s="21"/>
      <c r="H8" s="147" t="str">
        <f>IF(Karakterlap!$Y$3&lt;2,"",IF(Karakterlap!$Y$3&gt;5,"Mf","Af"))</f>
        <v/>
      </c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 t="str">
        <f>IF(Karakterlap!$Y$3&gt;3,"lefegyverzés","")</f>
        <v/>
      </c>
      <c r="B9" s="147"/>
      <c r="C9" s="147"/>
      <c r="D9" s="147"/>
      <c r="E9" s="147"/>
      <c r="F9" s="147"/>
      <c r="G9" s="21"/>
      <c r="H9" s="147" t="str">
        <f>IF(Karakterlap!$Y$3&lt;4,"",IF(Karakterlap!$Y$3&gt;6,"Mf","Af"))</f>
        <v/>
      </c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 t="str">
        <f>IF(Karakterlap!$Y$3&gt;4,"hadvezetés","")</f>
        <v/>
      </c>
      <c r="B10" s="147"/>
      <c r="C10" s="147"/>
      <c r="D10" s="147"/>
      <c r="E10" s="147"/>
      <c r="F10" s="147"/>
      <c r="G10" s="21"/>
      <c r="H10" s="147" t="str">
        <f>IF(Karakterlap!$Y$3&gt;4,"Af","")</f>
        <v/>
      </c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341"/>
      <c r="B11" s="342"/>
      <c r="C11" s="342"/>
      <c r="D11" s="342"/>
      <c r="E11" s="342"/>
      <c r="F11" s="168"/>
      <c r="G11" s="21"/>
      <c r="H11" s="147"/>
      <c r="I11" s="174"/>
      <c r="J11" s="146"/>
      <c r="K11" s="147"/>
      <c r="L11" s="147"/>
      <c r="M11" s="147"/>
      <c r="N11" s="147"/>
      <c r="O11" s="147"/>
      <c r="P11" s="21"/>
      <c r="Q11" s="23"/>
      <c r="R11" s="146" t="s">
        <v>135</v>
      </c>
      <c r="S11" s="147"/>
      <c r="T11" s="147"/>
      <c r="U11" s="147"/>
      <c r="V11" s="147"/>
      <c r="W11" s="147"/>
      <c r="X11" s="21" t="s">
        <v>136</v>
      </c>
      <c r="Y11" s="147" t="s">
        <v>137</v>
      </c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/>
      <c r="K13" s="147"/>
      <c r="L13" s="147"/>
      <c r="M13" s="147"/>
      <c r="N13" s="147"/>
      <c r="O13" s="147"/>
      <c r="P13" s="21"/>
      <c r="Q13" s="23"/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/>
      <c r="K14" s="147"/>
      <c r="L14" s="147"/>
      <c r="M14" s="147"/>
      <c r="N14" s="147"/>
      <c r="O14" s="147"/>
      <c r="P14" s="21"/>
      <c r="Q14" s="23"/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/>
      <c r="K15" s="147"/>
      <c r="L15" s="147"/>
      <c r="M15" s="147"/>
      <c r="N15" s="147"/>
      <c r="O15" s="147"/>
      <c r="P15" s="21"/>
      <c r="Q15" s="23"/>
      <c r="R15" s="146"/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/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7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956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">
        <v>652</v>
      </c>
      <c r="R2" s="146"/>
      <c r="S2" s="147"/>
      <c r="T2" s="147"/>
      <c r="U2" s="147"/>
      <c r="V2" s="147"/>
      <c r="W2" s="147"/>
      <c r="X2" s="21"/>
      <c r="Y2" s="147"/>
      <c r="Z2" s="174"/>
      <c r="AA2" s="168" t="s">
        <v>882</v>
      </c>
      <c r="AB2" s="147"/>
      <c r="AC2" s="147"/>
      <c r="AD2" s="147"/>
      <c r="AE2" s="147"/>
      <c r="AF2" s="147"/>
      <c r="AG2" s="147"/>
      <c r="AH2" s="21"/>
      <c r="AI2" s="147" t="s">
        <v>652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/>
      <c r="S3" s="147"/>
      <c r="T3" s="147"/>
      <c r="U3" s="147"/>
      <c r="V3" s="147"/>
      <c r="W3" s="147"/>
      <c r="X3" s="21"/>
      <c r="Y3" s="147"/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5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952</v>
      </c>
      <c r="K4" s="147"/>
      <c r="L4" s="147"/>
      <c r="M4" s="147"/>
      <c r="N4" s="147"/>
      <c r="O4" s="147"/>
      <c r="P4" s="21"/>
      <c r="Q4" s="23" t="s">
        <v>652</v>
      </c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>
        <v>5</v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 t="s">
        <v>953</v>
      </c>
      <c r="K5" s="147"/>
      <c r="L5" s="147"/>
      <c r="M5" s="147"/>
      <c r="N5" s="147"/>
      <c r="O5" s="147"/>
      <c r="P5" s="21"/>
      <c r="Q5" s="23" t="str">
        <f>IF(Karakterlap!$Y$3&gt;2,"Mf","Af")</f>
        <v>Af</v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>
        <v>5</v>
      </c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663</v>
      </c>
      <c r="K6" s="147"/>
      <c r="L6" s="147"/>
      <c r="M6" s="147"/>
      <c r="N6" s="147"/>
      <c r="O6" s="147"/>
      <c r="P6" s="21"/>
      <c r="Q6" s="23" t="s">
        <v>652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662</v>
      </c>
      <c r="K7" s="147"/>
      <c r="L7" s="147"/>
      <c r="M7" s="147"/>
      <c r="N7" s="147"/>
      <c r="O7" s="147"/>
      <c r="P7" s="21"/>
      <c r="Q7" s="23" t="str">
        <f>IF(Karakterlap!$Y$3&gt;4,"Mf","Af")</f>
        <v>Af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 t="s">
        <v>861</v>
      </c>
      <c r="AB11" s="147"/>
      <c r="AC11" s="147"/>
      <c r="AD11" s="147"/>
      <c r="AE11" s="147"/>
      <c r="AF11" s="147"/>
      <c r="AG11" s="147"/>
      <c r="AH11" s="21"/>
      <c r="AI11" s="147" t="str">
        <f>IF(Karakterlap!$Y$3&gt;6,"Mf","Af")</f>
        <v>Af</v>
      </c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0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8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906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957</v>
      </c>
      <c r="K2" s="147"/>
      <c r="L2" s="147"/>
      <c r="M2" s="147"/>
      <c r="N2" s="147"/>
      <c r="O2" s="147"/>
      <c r="P2" s="21"/>
      <c r="Q2" s="23" t="s">
        <v>652</v>
      </c>
      <c r="R2" s="146"/>
      <c r="S2" s="147"/>
      <c r="T2" s="147"/>
      <c r="U2" s="147"/>
      <c r="V2" s="147"/>
      <c r="W2" s="147"/>
      <c r="X2" s="21"/>
      <c r="Y2" s="147"/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/>
      <c r="S3" s="147"/>
      <c r="T3" s="147"/>
      <c r="U3" s="147"/>
      <c r="V3" s="147"/>
      <c r="W3" s="147"/>
      <c r="X3" s="21"/>
      <c r="Y3" s="147"/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5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776</v>
      </c>
      <c r="K4" s="147"/>
      <c r="L4" s="147"/>
      <c r="M4" s="147"/>
      <c r="N4" s="147"/>
      <c r="O4" s="147"/>
      <c r="P4" s="21"/>
      <c r="Q4" s="23" t="str">
        <f>IF(Karakterlap!$Y$3&gt;5,"Mf","Af")</f>
        <v>Af</v>
      </c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>
        <v>4</v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 t="s">
        <v>705</v>
      </c>
      <c r="K5" s="147"/>
      <c r="L5" s="147"/>
      <c r="M5" s="147"/>
      <c r="N5" s="147"/>
      <c r="O5" s="147"/>
      <c r="P5" s="21"/>
      <c r="Q5" s="23" t="s">
        <v>642</v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790</v>
      </c>
      <c r="K6" s="147"/>
      <c r="L6" s="147"/>
      <c r="M6" s="147"/>
      <c r="N6" s="147"/>
      <c r="O6" s="147"/>
      <c r="P6" s="21"/>
      <c r="Q6" s="23" t="s">
        <v>642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662</v>
      </c>
      <c r="K7" s="147"/>
      <c r="L7" s="147"/>
      <c r="M7" s="147"/>
      <c r="N7" s="147"/>
      <c r="O7" s="147"/>
      <c r="P7" s="21"/>
      <c r="Q7" s="23" t="str">
        <f>IF(Karakterlap!$Y$3&gt;6,"Mf","Af")</f>
        <v>Af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663</v>
      </c>
      <c r="K8" s="147"/>
      <c r="L8" s="147"/>
      <c r="M8" s="147"/>
      <c r="N8" s="147"/>
      <c r="O8" s="147"/>
      <c r="P8" s="21"/>
      <c r="Q8" s="23" t="str">
        <f>IF(Karakterlap!$Y$3&gt;7,"Mf","Af")</f>
        <v>Af</v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958</v>
      </c>
      <c r="K9" s="147"/>
      <c r="L9" s="147"/>
      <c r="M9" s="147"/>
      <c r="N9" s="147"/>
      <c r="O9" s="147"/>
      <c r="P9" s="21"/>
      <c r="Q9" s="23" t="str">
        <f>IF(Karakterlap!$Y$3&gt;5,"Mf","Af")</f>
        <v>Af</v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tr">
        <f>IF(Karakterlap!$Y$3&gt;3,"herbalizmus","")</f>
        <v/>
      </c>
      <c r="K10" s="147"/>
      <c r="L10" s="147"/>
      <c r="M10" s="147"/>
      <c r="N10" s="147"/>
      <c r="O10" s="147"/>
      <c r="P10" s="21"/>
      <c r="Q10" s="23" t="str">
        <f>IF(Karakterlap!$Y$3&gt;3,"Af","")</f>
        <v/>
      </c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 t="s">
        <v>642</v>
      </c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683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/>
      <c r="K2" s="147"/>
      <c r="L2" s="147"/>
      <c r="M2" s="147"/>
      <c r="N2" s="147"/>
      <c r="O2" s="147"/>
      <c r="P2" s="21"/>
      <c r="Q2" s="23"/>
      <c r="R2" s="146" t="s">
        <v>643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684</v>
      </c>
      <c r="B3" s="147"/>
      <c r="C3" s="147"/>
      <c r="D3" s="147"/>
      <c r="E3" s="147"/>
      <c r="F3" s="147"/>
      <c r="G3" s="21"/>
      <c r="H3" s="147" t="s">
        <v>652</v>
      </c>
      <c r="I3" s="174"/>
      <c r="J3" s="146"/>
      <c r="K3" s="147"/>
      <c r="L3" s="147"/>
      <c r="M3" s="147"/>
      <c r="N3" s="147"/>
      <c r="O3" s="147"/>
      <c r="P3" s="21"/>
      <c r="Q3" s="23"/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tr">
        <f>IF(Karakterlap!$Y$3&gt;2,"fegyverhasználat","")</f>
        <v/>
      </c>
      <c r="B4" s="147"/>
      <c r="C4" s="147"/>
      <c r="D4" s="147"/>
      <c r="E4" s="147"/>
      <c r="F4" s="147"/>
      <c r="G4" s="21"/>
      <c r="H4" s="147" t="str">
        <f>IF(Karakterlap!$Y$3&gt;2,"Af","")</f>
        <v/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645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tr">
        <f>IF(Karakterlap!$Y$3&gt;5,"hadvezetés","")</f>
        <v/>
      </c>
      <c r="B5" s="147"/>
      <c r="C5" s="147"/>
      <c r="D5" s="147"/>
      <c r="E5" s="147"/>
      <c r="F5" s="147"/>
      <c r="G5" s="21"/>
      <c r="H5" s="147" t="str">
        <f>IF(Karakterlap!$Y$3&gt;5,"Af","")</f>
        <v/>
      </c>
      <c r="I5" s="174"/>
      <c r="J5" s="146"/>
      <c r="K5" s="147"/>
      <c r="L5" s="147"/>
      <c r="M5" s="147"/>
      <c r="N5" s="147"/>
      <c r="O5" s="147"/>
      <c r="P5" s="21"/>
      <c r="Q5" s="23"/>
      <c r="R5" s="146" t="s">
        <v>682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9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16" width="3.6640625" customWidth="1"/>
    <col min="17" max="17" width="4.33203125" bestFit="1" customWidth="1"/>
    <col min="18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906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647</v>
      </c>
      <c r="K2" s="147"/>
      <c r="L2" s="147"/>
      <c r="M2" s="147"/>
      <c r="N2" s="147"/>
      <c r="O2" s="147"/>
      <c r="P2" s="21"/>
      <c r="Q2" s="23" t="s">
        <v>652</v>
      </c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646</v>
      </c>
      <c r="K3" s="147"/>
      <c r="L3" s="147"/>
      <c r="M3" s="147"/>
      <c r="N3" s="147"/>
      <c r="O3" s="147"/>
      <c r="P3" s="21"/>
      <c r="Q3" s="23" t="str">
        <f>IF(Karakterlap!$Y$3&gt;2,"Mf","Af")</f>
        <v>Af</v>
      </c>
      <c r="R3" s="146" t="s">
        <v>653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705</v>
      </c>
      <c r="K4" s="147"/>
      <c r="L4" s="147"/>
      <c r="M4" s="147"/>
      <c r="N4" s="147"/>
      <c r="O4" s="147"/>
      <c r="P4" s="21"/>
      <c r="Q4" s="23" t="s">
        <v>652</v>
      </c>
      <c r="R4" s="146" t="s">
        <v>960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 t="s">
        <v>830</v>
      </c>
      <c r="K5" s="147"/>
      <c r="L5" s="147"/>
      <c r="M5" s="147"/>
      <c r="N5" s="147"/>
      <c r="O5" s="147"/>
      <c r="P5" s="21"/>
      <c r="Q5" s="23" t="str">
        <f>IF(Karakterlap!$Y$3&gt;4,"Mf","Af")</f>
        <v>Af</v>
      </c>
      <c r="R5" s="146" t="s">
        <v>792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848</v>
      </c>
      <c r="K6" s="147"/>
      <c r="L6" s="147"/>
      <c r="M6" s="147"/>
      <c r="N6" s="147"/>
      <c r="O6" s="147"/>
      <c r="P6" s="21"/>
      <c r="Q6" s="23" t="s">
        <v>652</v>
      </c>
      <c r="R6" s="146" t="s">
        <v>762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847</v>
      </c>
      <c r="K7" s="147"/>
      <c r="L7" s="147"/>
      <c r="M7" s="147"/>
      <c r="N7" s="147"/>
      <c r="O7" s="147"/>
      <c r="P7" s="21"/>
      <c r="Q7" s="23" t="str">
        <f>IF(Karakterlap!$Y$3&gt;3,"Mf","Af")</f>
        <v>Af</v>
      </c>
      <c r="R7" s="146" t="str">
        <f>IF(Karakterlap!$Y$3&gt;1,"hangutánzás","")</f>
        <v/>
      </c>
      <c r="S7" s="147"/>
      <c r="T7" s="147"/>
      <c r="U7" s="147"/>
      <c r="V7" s="147"/>
      <c r="W7" s="147"/>
      <c r="X7" s="21"/>
      <c r="Y7" s="147" t="str">
        <f>IF(Karakterlap!$Y$3&lt;2,"",IF(Karakterlap!$Y$3&gt;6,"Mf","Af"))</f>
        <v/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961</v>
      </c>
      <c r="K8" s="147"/>
      <c r="L8" s="147"/>
      <c r="M8" s="147"/>
      <c r="N8" s="147"/>
      <c r="O8" s="147"/>
      <c r="P8" s="21"/>
      <c r="Q8" s="84">
        <f>Karakterlap!$Y$3*8</f>
        <v>0</v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tr">
        <f>IF(Karakterlap!$Y$3&gt;4,"asztrológia","")</f>
        <v/>
      </c>
      <c r="K9" s="147"/>
      <c r="L9" s="147"/>
      <c r="M9" s="147"/>
      <c r="N9" s="147"/>
      <c r="O9" s="147"/>
      <c r="P9" s="21"/>
      <c r="Q9" s="23" t="str">
        <f>IF(Karakterlap!$Y$3&gt;4,"Af","")</f>
        <v/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tr">
        <f>IF(Karakterlap!$Y$3&gt;4,"történelemism.(saját)","")</f>
        <v/>
      </c>
      <c r="K10" s="147"/>
      <c r="L10" s="147"/>
      <c r="M10" s="147"/>
      <c r="N10" s="147"/>
      <c r="O10" s="147"/>
      <c r="P10" s="21"/>
      <c r="Q10" s="23" t="str">
        <f>IF(Karakterlap!$Y$3&gt;4,"Af","")</f>
        <v/>
      </c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 t="str">
        <f>IF(Karakterlap!$Y$3&gt;5,"demonológia","")</f>
        <v/>
      </c>
      <c r="K11" s="147"/>
      <c r="L11" s="147"/>
      <c r="M11" s="147"/>
      <c r="N11" s="147"/>
      <c r="O11" s="147"/>
      <c r="P11" s="21"/>
      <c r="Q11" s="23" t="str">
        <f>IF(Karakterlap!$Y$3&lt;6,"",IF(Karakterlap!$Y$3&gt;8,"Mf","Af"))</f>
        <v/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10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906</v>
      </c>
      <c r="B2" s="147"/>
      <c r="C2" s="147"/>
      <c r="D2" s="147"/>
      <c r="E2" s="147"/>
      <c r="F2" s="147"/>
      <c r="G2" s="21"/>
      <c r="H2" s="147" t="str">
        <f>IF(Karakterlap!$Y$3&gt;4,"Mf","Af")</f>
        <v>Af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">
        <v>652</v>
      </c>
      <c r="R2" s="146" t="s">
        <v>762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656</v>
      </c>
      <c r="B3" s="147"/>
      <c r="C3" s="147"/>
      <c r="D3" s="147"/>
      <c r="E3" s="147"/>
      <c r="F3" s="147"/>
      <c r="G3" s="21"/>
      <c r="H3" s="147" t="str">
        <f>IF(Karakterlap!$Y$3&gt;5,"Mf","Af")</f>
        <v>Af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/>
      <c r="S3" s="147"/>
      <c r="T3" s="147"/>
      <c r="U3" s="147"/>
      <c r="V3" s="147"/>
      <c r="W3" s="147"/>
      <c r="X3" s="21"/>
      <c r="Y3" s="147"/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4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953</v>
      </c>
      <c r="K4" s="147"/>
      <c r="L4" s="147"/>
      <c r="M4" s="147"/>
      <c r="N4" s="147"/>
      <c r="O4" s="147"/>
      <c r="P4" s="21"/>
      <c r="Q4" s="23" t="str">
        <f>IF(Karakterlap!$Y$3&gt;3,"Mf","Af")</f>
        <v>Af</v>
      </c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 t="s">
        <v>848</v>
      </c>
      <c r="K5" s="147"/>
      <c r="L5" s="147"/>
      <c r="M5" s="147"/>
      <c r="N5" s="147"/>
      <c r="O5" s="147"/>
      <c r="P5" s="21"/>
      <c r="Q5" s="23" t="s">
        <v>652</v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705</v>
      </c>
      <c r="K6" s="147"/>
      <c r="L6" s="147"/>
      <c r="M6" s="147"/>
      <c r="N6" s="147"/>
      <c r="O6" s="147"/>
      <c r="P6" s="21"/>
      <c r="Q6" s="23" t="str">
        <f>IF(Karakterlap!$Y$3&gt;6,"Mf","Af")</f>
        <v>Af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1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11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906</v>
      </c>
      <c r="B2" s="147"/>
      <c r="C2" s="147"/>
      <c r="D2" s="147"/>
      <c r="E2" s="147"/>
      <c r="F2" s="147"/>
      <c r="G2" s="21"/>
      <c r="H2" s="147" t="str">
        <f>IF(Karakterlap!$Y$3&gt;4,"Mf","Af")</f>
        <v>Af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">
        <v>652</v>
      </c>
      <c r="R2" s="146" t="s">
        <v>762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656</v>
      </c>
      <c r="B3" s="147"/>
      <c r="C3" s="147"/>
      <c r="D3" s="147"/>
      <c r="E3" s="147"/>
      <c r="F3" s="147"/>
      <c r="G3" s="21"/>
      <c r="H3" s="147" t="str">
        <f>IF(Karakterlap!$Y$3&gt;5,"Mf","Af")</f>
        <v>Af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792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4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953</v>
      </c>
      <c r="K4" s="147"/>
      <c r="L4" s="147"/>
      <c r="M4" s="147"/>
      <c r="N4" s="147"/>
      <c r="O4" s="147"/>
      <c r="P4" s="21"/>
      <c r="Q4" s="23" t="str">
        <f>IF(Karakterlap!$Y$3&gt;3,"Mf","Af")</f>
        <v>Af</v>
      </c>
      <c r="R4" s="146" t="s">
        <v>645</v>
      </c>
      <c r="S4" s="147"/>
      <c r="T4" s="147"/>
      <c r="U4" s="147"/>
      <c r="V4" s="147"/>
      <c r="W4" s="147"/>
      <c r="X4" s="21"/>
      <c r="Y4" s="147" t="str">
        <f>IF(Karakterlap!$Y$3&gt;3,"Mf","Af")</f>
        <v>Af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 t="s">
        <v>848</v>
      </c>
      <c r="K5" s="147"/>
      <c r="L5" s="147"/>
      <c r="M5" s="147"/>
      <c r="N5" s="147"/>
      <c r="O5" s="147"/>
      <c r="P5" s="21"/>
      <c r="Q5" s="23" t="s">
        <v>652</v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705</v>
      </c>
      <c r="K6" s="147"/>
      <c r="L6" s="147"/>
      <c r="M6" s="147"/>
      <c r="N6" s="147"/>
      <c r="O6" s="147"/>
      <c r="P6" s="21"/>
      <c r="Q6" s="23" t="str">
        <f>IF(Karakterlap!$Y$3&gt;6,"Mf","Af")</f>
        <v>Af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964</v>
      </c>
      <c r="K7" s="147"/>
      <c r="L7" s="147"/>
      <c r="M7" s="147"/>
      <c r="N7" s="147"/>
      <c r="O7" s="147"/>
      <c r="P7" s="21"/>
      <c r="Q7" s="23" t="str">
        <f>IF(Karakterlap!$Y$3&gt;3,"Mf","Af")</f>
        <v>Af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965</v>
      </c>
      <c r="K8" s="147"/>
      <c r="L8" s="147"/>
      <c r="M8" s="147"/>
      <c r="N8" s="147"/>
      <c r="O8" s="147"/>
      <c r="P8" s="21"/>
      <c r="Q8" s="23" t="str">
        <f>IF(Karakterlap!$Y$3&gt;4,"Mf","Af")</f>
        <v>Af</v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 t="s">
        <v>930</v>
      </c>
      <c r="AB11" s="147"/>
      <c r="AC11" s="147"/>
      <c r="AD11" s="147"/>
      <c r="AE11" s="147"/>
      <c r="AF11" s="147"/>
      <c r="AG11" s="147"/>
      <c r="AH11" s="21"/>
      <c r="AI11" s="147" t="s">
        <v>652</v>
      </c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1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12" enableFormatConditionsCalculation="0"/>
  <dimension ref="A1:AJ17"/>
  <sheetViews>
    <sheetView workbookViewId="0">
      <selection activeCell="U23" sqref="U23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906</v>
      </c>
      <c r="B2" s="147"/>
      <c r="C2" s="147"/>
      <c r="D2" s="147"/>
      <c r="E2" s="147"/>
      <c r="F2" s="147"/>
      <c r="G2" s="21"/>
      <c r="H2" s="147" t="str">
        <f>IF(Karakterlap!$Y$3&gt;4,"Mf","Af")</f>
        <v>Af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">
        <v>652</v>
      </c>
      <c r="R2" s="146" t="s">
        <v>762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656</v>
      </c>
      <c r="B3" s="147"/>
      <c r="C3" s="147"/>
      <c r="D3" s="147"/>
      <c r="E3" s="147"/>
      <c r="F3" s="147"/>
      <c r="G3" s="21"/>
      <c r="H3" s="147" t="str">
        <f>IF(Karakterlap!$Y$3&gt;5,"Mf","Af")</f>
        <v>Af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645</v>
      </c>
      <c r="S3" s="147"/>
      <c r="T3" s="147"/>
      <c r="U3" s="147"/>
      <c r="V3" s="147"/>
      <c r="W3" s="147"/>
      <c r="X3" s="21"/>
      <c r="Y3" s="147" t="str">
        <f>IF(Karakterlap!$Y$3&gt;3,"Mf","Af")</f>
        <v>Af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4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953</v>
      </c>
      <c r="K4" s="147"/>
      <c r="L4" s="147"/>
      <c r="M4" s="147"/>
      <c r="N4" s="147"/>
      <c r="O4" s="147"/>
      <c r="P4" s="21"/>
      <c r="Q4" s="23" t="str">
        <f>IF(Karakterlap!$Y$3&gt;3,"Mf","Af")</f>
        <v>Af</v>
      </c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 t="s">
        <v>848</v>
      </c>
      <c r="K5" s="147"/>
      <c r="L5" s="147"/>
      <c r="M5" s="147"/>
      <c r="N5" s="147"/>
      <c r="O5" s="147"/>
      <c r="P5" s="21"/>
      <c r="Q5" s="23" t="s">
        <v>652</v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705</v>
      </c>
      <c r="K6" s="147"/>
      <c r="L6" s="147"/>
      <c r="M6" s="147"/>
      <c r="N6" s="147"/>
      <c r="O6" s="147"/>
      <c r="P6" s="21"/>
      <c r="Q6" s="23" t="str">
        <f>IF(Karakterlap!$Y$3&gt;6,"Mf","Af")</f>
        <v>Af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964</v>
      </c>
      <c r="K7" s="147"/>
      <c r="L7" s="147"/>
      <c r="M7" s="147"/>
      <c r="N7" s="147"/>
      <c r="O7" s="147"/>
      <c r="P7" s="21"/>
      <c r="Q7" s="23" t="str">
        <f>IF(Karakterlap!$Y$3&gt;3,"Mf","Af")</f>
        <v>Af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647</v>
      </c>
      <c r="K8" s="147"/>
      <c r="L8" s="147"/>
      <c r="M8" s="147"/>
      <c r="N8" s="147"/>
      <c r="O8" s="147"/>
      <c r="P8" s="21"/>
      <c r="Q8" s="23" t="str">
        <f>IF(Karakterlap!$Y$3&gt;4,"Mf","Af")</f>
        <v>Af</v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790</v>
      </c>
      <c r="K9" s="147"/>
      <c r="L9" s="147"/>
      <c r="M9" s="147"/>
      <c r="N9" s="147"/>
      <c r="O9" s="147"/>
      <c r="P9" s="21"/>
      <c r="Q9" s="23" t="str">
        <f>IF(Karakterlap!$Y$3&gt;5,"Mf","Af")</f>
        <v>Af</v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 t="s">
        <v>652</v>
      </c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1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905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tr">
        <f>IF(Karakterlap!$Y$3&gt;2,"térképészet","")</f>
        <v/>
      </c>
      <c r="K2" s="147"/>
      <c r="L2" s="147"/>
      <c r="M2" s="147"/>
      <c r="N2" s="147"/>
      <c r="O2" s="147"/>
      <c r="P2" s="21"/>
      <c r="Q2" s="23" t="str">
        <f>IF(Karakterlap!$Y$3&gt;2,"Af","")</f>
        <v/>
      </c>
      <c r="R2" s="146" t="s">
        <v>651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669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tr">
        <f>IF(Karakterlap!$Y$3&gt;3,"sebgyógyítás","")</f>
        <v/>
      </c>
      <c r="K3" s="147"/>
      <c r="L3" s="147"/>
      <c r="M3" s="147"/>
      <c r="N3" s="147"/>
      <c r="O3" s="147"/>
      <c r="P3" s="21"/>
      <c r="Q3" s="23" t="str">
        <f>IF(Karakterlap!$Y$3&gt;3,"Af","")</f>
        <v/>
      </c>
      <c r="R3" s="146" t="s">
        <v>645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670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/>
      <c r="K4" s="147"/>
      <c r="L4" s="147"/>
      <c r="M4" s="147"/>
      <c r="N4" s="147"/>
      <c r="O4" s="147"/>
      <c r="P4" s="21"/>
      <c r="Q4" s="23"/>
      <c r="R4" s="146" t="str">
        <f>IF(Karakterlap!$Y$3&gt;4,"idomítás","")</f>
        <v/>
      </c>
      <c r="S4" s="147"/>
      <c r="T4" s="147"/>
      <c r="U4" s="147"/>
      <c r="V4" s="147"/>
      <c r="W4" s="147"/>
      <c r="X4" s="21"/>
      <c r="Y4" s="147" t="str">
        <f>IF(Karakterlap!$Y$3&gt;4,"Af","")</f>
        <v/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687</v>
      </c>
      <c r="B5" s="147"/>
      <c r="C5" s="147"/>
      <c r="D5" s="147"/>
      <c r="E5" s="147"/>
      <c r="F5" s="147"/>
      <c r="G5" s="21"/>
      <c r="H5" s="147" t="s">
        <v>642</v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678</v>
      </c>
      <c r="B6" s="147"/>
      <c r="C6" s="147"/>
      <c r="D6" s="147"/>
      <c r="E6" s="147"/>
      <c r="F6" s="147"/>
      <c r="G6" s="21"/>
      <c r="H6" s="147" t="s">
        <v>642</v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 t="str">
        <f>IF(Karakterlap!$Y$3&gt;3,"kétkezes harc","")</f>
        <v/>
      </c>
      <c r="B7" s="147"/>
      <c r="C7" s="147"/>
      <c r="D7" s="147"/>
      <c r="E7" s="147"/>
      <c r="F7" s="147"/>
      <c r="G7" s="21"/>
      <c r="H7" s="147" t="str">
        <f>IF(Karakterlap!$Y$3&gt;3,"Af","")</f>
        <v/>
      </c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2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688</v>
      </c>
      <c r="B2" s="147"/>
      <c r="C2" s="147"/>
      <c r="D2" s="147"/>
      <c r="E2" s="147"/>
      <c r="F2" s="147"/>
      <c r="G2" s="21"/>
      <c r="H2" s="147" t="str">
        <f>IF(Karakterlap!$Y$3&gt;3,"Mf","Af")</f>
        <v>Af</v>
      </c>
      <c r="I2" s="174"/>
      <c r="J2" s="146"/>
      <c r="K2" s="147"/>
      <c r="L2" s="147"/>
      <c r="M2" s="147"/>
      <c r="N2" s="147"/>
      <c r="O2" s="147"/>
      <c r="P2" s="21"/>
      <c r="Q2" s="23"/>
      <c r="R2" s="146" t="s">
        <v>643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906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/>
      <c r="K3" s="147"/>
      <c r="L3" s="147"/>
      <c r="M3" s="147"/>
      <c r="N3" s="147"/>
      <c r="O3" s="147"/>
      <c r="P3" s="21"/>
      <c r="Q3" s="23"/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676</v>
      </c>
      <c r="B4" s="147"/>
      <c r="C4" s="147"/>
      <c r="D4" s="147"/>
      <c r="E4" s="147"/>
      <c r="F4" s="147"/>
      <c r="G4" s="21"/>
      <c r="H4" s="147" t="str">
        <f>IF(Karakterlap!$Y$3&gt;4,"Mf","Af")</f>
        <v>Af</v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645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tr">
        <f>IF(Karakterlap!$Y$3&gt;2,"hadvezetés","")</f>
        <v/>
      </c>
      <c r="B5" s="147"/>
      <c r="C5" s="147"/>
      <c r="D5" s="147"/>
      <c r="E5" s="147"/>
      <c r="F5" s="147"/>
      <c r="G5" s="21"/>
      <c r="H5" s="147" t="str">
        <f>IF(Karakterlap!$Y$3&gt;2,"Af","")</f>
        <v/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3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789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/>
      <c r="K2" s="147"/>
      <c r="L2" s="147"/>
      <c r="M2" s="147"/>
      <c r="N2" s="147"/>
      <c r="O2" s="147"/>
      <c r="P2" s="21"/>
      <c r="Q2" s="23"/>
      <c r="R2" s="341" t="s">
        <v>644</v>
      </c>
      <c r="S2" s="342"/>
      <c r="T2" s="342"/>
      <c r="U2" s="342"/>
      <c r="V2" s="342"/>
      <c r="W2" s="168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676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/>
      <c r="K3" s="147"/>
      <c r="L3" s="147"/>
      <c r="M3" s="147"/>
      <c r="N3" s="147"/>
      <c r="O3" s="147"/>
      <c r="P3" s="21"/>
      <c r="Q3" s="23"/>
      <c r="R3" s="341" t="s">
        <v>645</v>
      </c>
      <c r="S3" s="342"/>
      <c r="T3" s="342"/>
      <c r="U3" s="342"/>
      <c r="V3" s="342"/>
      <c r="W3" s="168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677</v>
      </c>
      <c r="B4" s="147"/>
      <c r="C4" s="147"/>
      <c r="D4" s="147"/>
      <c r="E4" s="147"/>
      <c r="F4" s="147"/>
      <c r="G4" s="21"/>
      <c r="H4" s="147" t="str">
        <f>IF(Karakterlap!$Y$3&gt;4,"Mf","Af")</f>
        <v>Af</v>
      </c>
      <c r="I4" s="174"/>
      <c r="J4" s="146"/>
      <c r="K4" s="147"/>
      <c r="L4" s="147"/>
      <c r="M4" s="147"/>
      <c r="N4" s="147"/>
      <c r="O4" s="147"/>
      <c r="P4" s="21"/>
      <c r="Q4" s="23"/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tr">
        <f>IF(Karakterlap!$Y$3&gt;5,"hadrend","")</f>
        <v/>
      </c>
      <c r="B5" s="147"/>
      <c r="C5" s="147"/>
      <c r="D5" s="147"/>
      <c r="E5" s="147"/>
      <c r="F5" s="147"/>
      <c r="G5" s="21"/>
      <c r="H5" s="147" t="str">
        <f>IF(Karakterlap!$Y$3&gt;2,"Af","")</f>
        <v/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tr">
        <f>IF(Karakterlap!$Y$3&gt;5,"hadvezetés","")</f>
        <v/>
      </c>
      <c r="B6" s="147"/>
      <c r="C6" s="147"/>
      <c r="D6" s="147"/>
      <c r="E6" s="147"/>
      <c r="F6" s="147"/>
      <c r="G6" s="21"/>
      <c r="H6" s="147" t="str">
        <f>IF(Karakterlap!$Y$3&gt;5,"Af","")</f>
        <v/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4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692</v>
      </c>
      <c r="B2" s="147"/>
      <c r="C2" s="147"/>
      <c r="D2" s="147"/>
      <c r="E2" s="147"/>
      <c r="F2" s="147"/>
      <c r="G2" s="21"/>
      <c r="H2" s="147" t="s">
        <v>652</v>
      </c>
      <c r="I2" s="174"/>
      <c r="J2" s="146"/>
      <c r="K2" s="147"/>
      <c r="L2" s="147"/>
      <c r="M2" s="147"/>
      <c r="N2" s="147"/>
      <c r="O2" s="147"/>
      <c r="P2" s="21"/>
      <c r="Q2" s="23"/>
      <c r="R2" s="146" t="s">
        <v>644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694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/>
      <c r="K3" s="147"/>
      <c r="L3" s="147"/>
      <c r="M3" s="147"/>
      <c r="N3" s="147"/>
      <c r="O3" s="147"/>
      <c r="P3" s="21"/>
      <c r="Q3" s="23"/>
      <c r="R3" s="146" t="s">
        <v>645</v>
      </c>
      <c r="S3" s="147"/>
      <c r="T3" s="147"/>
      <c r="U3" s="147"/>
      <c r="V3" s="147"/>
      <c r="W3" s="147"/>
      <c r="X3" s="21"/>
      <c r="Y3" s="147" t="s">
        <v>652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693</v>
      </c>
      <c r="B4" s="147"/>
      <c r="C4" s="147"/>
      <c r="D4" s="147"/>
      <c r="E4" s="147"/>
      <c r="F4" s="147"/>
      <c r="G4" s="21"/>
      <c r="H4" s="147" t="str">
        <f>IF(Karakterlap!$Y$3&gt;5,"Af","")</f>
        <v/>
      </c>
      <c r="I4" s="174"/>
      <c r="J4" s="146"/>
      <c r="K4" s="147"/>
      <c r="L4" s="147"/>
      <c r="M4" s="147"/>
      <c r="N4" s="147"/>
      <c r="O4" s="147"/>
      <c r="P4" s="21"/>
      <c r="Q4" s="23"/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678</v>
      </c>
      <c r="B5" s="147"/>
      <c r="C5" s="147"/>
      <c r="D5" s="147"/>
      <c r="E5" s="147"/>
      <c r="F5" s="147"/>
      <c r="G5" s="21"/>
      <c r="H5" s="147" t="s">
        <v>642</v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687</v>
      </c>
      <c r="B6" s="147"/>
      <c r="C6" s="147"/>
      <c r="D6" s="147"/>
      <c r="E6" s="147"/>
      <c r="F6" s="147"/>
      <c r="G6" s="21"/>
      <c r="H6" s="147" t="s">
        <v>642</v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5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695</v>
      </c>
      <c r="B2" s="147"/>
      <c r="C2" s="147"/>
      <c r="D2" s="147"/>
      <c r="E2" s="147"/>
      <c r="F2" s="147"/>
      <c r="G2" s="21"/>
      <c r="H2" s="147" t="s">
        <v>652</v>
      </c>
      <c r="I2" s="174"/>
      <c r="J2" s="146"/>
      <c r="K2" s="147"/>
      <c r="L2" s="147"/>
      <c r="M2" s="147"/>
      <c r="N2" s="147"/>
      <c r="O2" s="147"/>
      <c r="P2" s="21"/>
      <c r="Q2" s="23"/>
      <c r="R2" s="146" t="s">
        <v>645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696</v>
      </c>
      <c r="B3" s="147"/>
      <c r="C3" s="147"/>
      <c r="D3" s="147"/>
      <c r="E3" s="147"/>
      <c r="F3" s="147"/>
      <c r="G3" s="21"/>
      <c r="H3" s="147" t="str">
        <f>IF(Karakterlap!$Y$3&gt;3,"Mf","Af")</f>
        <v>Af</v>
      </c>
      <c r="I3" s="174"/>
      <c r="J3" s="146"/>
      <c r="K3" s="147"/>
      <c r="L3" s="147"/>
      <c r="M3" s="147"/>
      <c r="N3" s="147"/>
      <c r="O3" s="147"/>
      <c r="P3" s="21"/>
      <c r="Q3" s="23"/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677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/>
      <c r="K4" s="147"/>
      <c r="L4" s="147"/>
      <c r="M4" s="147"/>
      <c r="N4" s="147"/>
      <c r="O4" s="147"/>
      <c r="P4" s="21"/>
      <c r="Q4" s="23"/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tr">
        <f>IF(Karakterlap!$Y$3&gt;5,"hadvezetés","")</f>
        <v/>
      </c>
      <c r="B5" s="147"/>
      <c r="C5" s="147"/>
      <c r="D5" s="147"/>
      <c r="E5" s="147"/>
      <c r="F5" s="147"/>
      <c r="G5" s="21"/>
      <c r="H5" s="147" t="str">
        <f>IF(Karakterlap!$Y$3&gt;5,"Af","")</f>
        <v/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6" enableFormatConditionsCalculation="0"/>
  <dimension ref="A1:AJ17"/>
  <sheetViews>
    <sheetView workbookViewId="0">
      <selection activeCell="T29" sqref="T29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659</v>
      </c>
      <c r="K2" s="147"/>
      <c r="L2" s="147"/>
      <c r="M2" s="147"/>
      <c r="N2" s="147"/>
      <c r="O2" s="147"/>
      <c r="P2" s="21"/>
      <c r="Q2" s="23" t="s">
        <v>642</v>
      </c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672</v>
      </c>
      <c r="B3" s="147"/>
      <c r="C3" s="147"/>
      <c r="D3" s="147"/>
      <c r="E3" s="147"/>
      <c r="F3" s="147"/>
      <c r="G3" s="21"/>
      <c r="H3" s="147" t="s">
        <v>642</v>
      </c>
      <c r="I3" s="174"/>
      <c r="J3" s="341" t="s">
        <v>661</v>
      </c>
      <c r="K3" s="342"/>
      <c r="L3" s="342"/>
      <c r="M3" s="342"/>
      <c r="N3" s="342"/>
      <c r="O3" s="168"/>
      <c r="P3" s="21"/>
      <c r="Q3" s="23" t="str">
        <f>IF(Karakterlap!$Y$3&gt;7,"Af","")</f>
        <v/>
      </c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3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341" t="s">
        <v>660</v>
      </c>
      <c r="K4" s="342"/>
      <c r="L4" s="342"/>
      <c r="M4" s="342"/>
      <c r="N4" s="342"/>
      <c r="O4" s="168"/>
      <c r="P4" s="21"/>
      <c r="Q4" s="23" t="s">
        <v>642</v>
      </c>
      <c r="R4" s="146" t="s">
        <v>654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 t="str">
        <f>IF(Karakterlap!$Y$3&gt;4,"5","")</f>
        <v/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 t="s">
        <v>665</v>
      </c>
      <c r="K5" s="147"/>
      <c r="L5" s="147"/>
      <c r="M5" s="147"/>
      <c r="N5" s="147"/>
      <c r="O5" s="147"/>
      <c r="P5" s="21"/>
      <c r="Q5" s="23" t="s">
        <v>642</v>
      </c>
      <c r="R5" s="146" t="s">
        <v>665</v>
      </c>
      <c r="S5" s="147"/>
      <c r="T5" s="147"/>
      <c r="U5" s="147"/>
      <c r="V5" s="147"/>
      <c r="W5" s="147"/>
      <c r="X5" s="21"/>
      <c r="Y5" s="147" t="str">
        <f>IF(Karakterlap!$Y$3&gt;3,"Mf","Af")</f>
        <v>Af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tr">
        <f>IF(Karakterlap!$Y$3&gt;5,"legendaismeret","")</f>
        <v/>
      </c>
      <c r="K6" s="147"/>
      <c r="L6" s="147"/>
      <c r="M6" s="147"/>
      <c r="N6" s="147"/>
      <c r="O6" s="147"/>
      <c r="P6" s="21"/>
      <c r="Q6" s="23" t="s">
        <v>642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tr">
        <f>IF(Karakterlap!$Y$3&gt;7,"heraldika","")</f>
        <v/>
      </c>
      <c r="K7" s="147"/>
      <c r="L7" s="147"/>
      <c r="M7" s="147"/>
      <c r="N7" s="147"/>
      <c r="O7" s="147"/>
      <c r="P7" s="21"/>
      <c r="Q7" s="23" t="str">
        <f>IF(Karakterlap!$Y$3&gt;5,"Af","")</f>
        <v/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7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905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/>
      <c r="K2" s="147"/>
      <c r="L2" s="147"/>
      <c r="M2" s="147"/>
      <c r="N2" s="147"/>
      <c r="O2" s="147"/>
      <c r="P2" s="21"/>
      <c r="Q2" s="23"/>
      <c r="R2" s="146" t="s">
        <v>700</v>
      </c>
      <c r="S2" s="147"/>
      <c r="T2" s="147"/>
      <c r="U2" s="147"/>
      <c r="V2" s="147"/>
      <c r="W2" s="147"/>
      <c r="X2" s="21"/>
      <c r="Y2" s="147" t="str">
        <f>IF(Karakterlap!$Y$3&gt;2,"Mf","Af")</f>
        <v>Af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670</v>
      </c>
      <c r="B3" s="147"/>
      <c r="C3" s="147"/>
      <c r="D3" s="147"/>
      <c r="E3" s="147"/>
      <c r="F3" s="147"/>
      <c r="G3" s="21"/>
      <c r="H3" s="147" t="str">
        <f>IF(Karakterlap!$Y$3&gt;3,"Mf","Af")</f>
        <v>Af</v>
      </c>
      <c r="I3" s="174"/>
      <c r="J3" s="146"/>
      <c r="K3" s="147"/>
      <c r="L3" s="147"/>
      <c r="M3" s="147"/>
      <c r="N3" s="147"/>
      <c r="O3" s="147"/>
      <c r="P3" s="21"/>
      <c r="Q3" s="23"/>
      <c r="R3" s="146"/>
      <c r="S3" s="147"/>
      <c r="T3" s="147"/>
      <c r="U3" s="147"/>
      <c r="V3" s="147"/>
      <c r="W3" s="147"/>
      <c r="X3" s="21"/>
      <c r="Y3" s="147"/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669</v>
      </c>
      <c r="B4" s="147"/>
      <c r="C4" s="147"/>
      <c r="D4" s="147"/>
      <c r="E4" s="147"/>
      <c r="F4" s="147"/>
      <c r="G4" s="21"/>
      <c r="H4" s="339" t="s">
        <v>642</v>
      </c>
      <c r="I4" s="340"/>
      <c r="J4" s="146"/>
      <c r="K4" s="147"/>
      <c r="L4" s="147"/>
      <c r="M4" s="147"/>
      <c r="N4" s="147"/>
      <c r="O4" s="147"/>
      <c r="P4" s="21"/>
      <c r="Q4" s="23"/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699</v>
      </c>
      <c r="B5" s="147"/>
      <c r="C5" s="147"/>
      <c r="D5" s="147"/>
      <c r="E5" s="147"/>
      <c r="F5" s="147"/>
      <c r="G5" s="21"/>
      <c r="H5" s="147" t="s">
        <v>642</v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656</v>
      </c>
      <c r="B6" s="147"/>
      <c r="C6" s="147"/>
      <c r="D6" s="147"/>
      <c r="E6" s="147"/>
      <c r="F6" s="147"/>
      <c r="G6" s="21"/>
      <c r="H6" s="147" t="str">
        <f>IF(Karakterlap!$Y$3&gt;5,"Mf","Af")</f>
        <v>Af</v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 t="str">
        <f>IF(Karakterlap!$Y$3&gt;1,"fegyverhasználat","")</f>
        <v/>
      </c>
      <c r="B7" s="147"/>
      <c r="C7" s="147"/>
      <c r="D7" s="147"/>
      <c r="E7" s="147"/>
      <c r="F7" s="147"/>
      <c r="G7" s="21"/>
      <c r="H7" s="147" t="str">
        <f>IF(Karakterlap!$Y$3&gt;1,"Af","")</f>
        <v/>
      </c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 t="str">
        <f>IF(Karakterlap!$Y$3&gt;4,"fegyverhasználat","")</f>
        <v/>
      </c>
      <c r="B8" s="147"/>
      <c r="C8" s="147"/>
      <c r="D8" s="147"/>
      <c r="E8" s="147"/>
      <c r="F8" s="147"/>
      <c r="G8" s="21"/>
      <c r="H8" s="147" t="str">
        <f>IF(Karakterlap!$Y$3&gt;4,"Mf","")</f>
        <v/>
      </c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 t="str">
        <f>IF(Karakterlap!$Y$3&gt;2,"kocsmai verekedés","")</f>
        <v/>
      </c>
      <c r="K12" s="147"/>
      <c r="L12" s="147"/>
      <c r="M12" s="147"/>
      <c r="N12" s="147"/>
      <c r="O12" s="147"/>
      <c r="P12" s="21"/>
      <c r="Q12" s="23" t="str">
        <f>IF(Karakterlap!$Y$3&gt;2,"Af","")</f>
        <v/>
      </c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8" enableFormatConditionsCalculation="0"/>
  <dimension ref="A1:AJ17"/>
  <sheetViews>
    <sheetView workbookViewId="0">
      <selection activeCell="J25" sqref="J25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789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705</v>
      </c>
      <c r="K2" s="147"/>
      <c r="L2" s="147"/>
      <c r="M2" s="147"/>
      <c r="N2" s="147"/>
      <c r="O2" s="147"/>
      <c r="P2" s="21"/>
      <c r="Q2" s="23" t="s">
        <v>642</v>
      </c>
      <c r="R2" s="146" t="s">
        <v>643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702</v>
      </c>
      <c r="B3" s="147"/>
      <c r="C3" s="147"/>
      <c r="D3" s="147"/>
      <c r="E3" s="147"/>
      <c r="F3" s="147"/>
      <c r="G3" s="21"/>
      <c r="H3" s="147" t="s">
        <v>652</v>
      </c>
      <c r="I3" s="174"/>
      <c r="J3" s="146" t="s">
        <v>647</v>
      </c>
      <c r="K3" s="147"/>
      <c r="L3" s="147"/>
      <c r="M3" s="147"/>
      <c r="N3" s="147"/>
      <c r="O3" s="147"/>
      <c r="P3" s="21"/>
      <c r="Q3" s="23" t="s">
        <v>642</v>
      </c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tr">
        <f>IF(Karakterlap!$Y$3&gt;2,"lovasíjászat","")</f>
        <v/>
      </c>
      <c r="B4" s="147"/>
      <c r="C4" s="147"/>
      <c r="D4" s="147"/>
      <c r="E4" s="147"/>
      <c r="F4" s="147"/>
      <c r="G4" s="21"/>
      <c r="H4" s="147" t="str">
        <f>IF(Karakterlap!$Y$3&gt;2,"Mf","")</f>
        <v/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645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tr">
        <f>IF(Karakterlap!$Y$3&gt;3,"célzás","")</f>
        <v/>
      </c>
      <c r="B5" s="147"/>
      <c r="C5" s="147"/>
      <c r="D5" s="147"/>
      <c r="E5" s="147"/>
      <c r="F5" s="147"/>
      <c r="G5" s="21"/>
      <c r="H5" s="147" t="str">
        <f>IF(Karakterlap!$Y$3&gt;3,"Mf","")</f>
        <v/>
      </c>
      <c r="I5" s="174"/>
      <c r="J5" s="146"/>
      <c r="K5" s="147"/>
      <c r="L5" s="147"/>
      <c r="M5" s="147"/>
      <c r="N5" s="147"/>
      <c r="O5" s="147"/>
      <c r="P5" s="21"/>
      <c r="Q5" s="23"/>
      <c r="R5" s="146" t="s">
        <v>682</v>
      </c>
      <c r="S5" s="147"/>
      <c r="T5" s="147"/>
      <c r="U5" s="147"/>
      <c r="V5" s="147"/>
      <c r="W5" s="147"/>
      <c r="X5" s="21"/>
      <c r="Y5" s="147" t="s">
        <v>652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 t="s">
        <v>703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 t="s">
        <v>704</v>
      </c>
      <c r="S7" s="147"/>
      <c r="T7" s="147"/>
      <c r="U7" s="147"/>
      <c r="V7" s="147"/>
      <c r="W7" s="147"/>
      <c r="X7" s="21"/>
      <c r="Y7" s="147" t="s">
        <v>652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/>
      <c r="K13" s="147"/>
      <c r="L13" s="147"/>
      <c r="M13" s="147"/>
      <c r="N13" s="147"/>
      <c r="O13" s="147"/>
      <c r="P13" s="21"/>
      <c r="Q13" s="23"/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/>
      <c r="K14" s="147"/>
      <c r="L14" s="147"/>
      <c r="M14" s="147"/>
      <c r="N14" s="147"/>
      <c r="O14" s="147"/>
      <c r="P14" s="21"/>
      <c r="Q14" s="23"/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/>
      <c r="K15" s="147"/>
      <c r="L15" s="147"/>
      <c r="M15" s="147"/>
      <c r="N15" s="147"/>
      <c r="O15" s="147"/>
      <c r="P15" s="21"/>
      <c r="Q15" s="23"/>
      <c r="R15" s="146"/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/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 enableFormatConditionsCalculation="0"/>
  <dimension ref="A1:CG109"/>
  <sheetViews>
    <sheetView workbookViewId="0">
      <pane ySplit="1" topLeftCell="A80" activePane="bottomLeft" state="frozen"/>
      <selection pane="bottomLeft" activeCell="A106" sqref="A106:XFD106"/>
    </sheetView>
  </sheetViews>
  <sheetFormatPr baseColWidth="10" defaultColWidth="8.83203125" defaultRowHeight="15" x14ac:dyDescent="0.2"/>
  <cols>
    <col min="1" max="1" width="16.5" customWidth="1"/>
    <col min="2" max="3" width="10.33203125" bestFit="1" customWidth="1"/>
    <col min="4" max="4" width="12.1640625" bestFit="1" customWidth="1"/>
    <col min="5" max="5" width="12" bestFit="1" customWidth="1"/>
    <col min="9" max="9" width="12.33203125" customWidth="1"/>
    <col min="10" max="10" width="6.6640625" bestFit="1" customWidth="1"/>
    <col min="12" max="12" width="21" bestFit="1" customWidth="1"/>
    <col min="13" max="25" width="9.1640625" customWidth="1"/>
    <col min="26" max="26" width="4.1640625" customWidth="1"/>
    <col min="27" max="28" width="4.5" customWidth="1"/>
    <col min="29" max="29" width="5.33203125" customWidth="1"/>
    <col min="30" max="30" width="4.83203125" customWidth="1"/>
    <col min="31" max="32" width="9.1640625" customWidth="1"/>
    <col min="33" max="33" width="7.83203125" customWidth="1"/>
    <col min="34" max="34" width="8.33203125" bestFit="1" customWidth="1"/>
    <col min="35" max="35" width="7.5" bestFit="1" customWidth="1"/>
    <col min="36" max="37" width="7.33203125" bestFit="1" customWidth="1"/>
    <col min="38" max="38" width="8.5" bestFit="1" customWidth="1"/>
    <col min="39" max="39" width="5.33203125" customWidth="1"/>
    <col min="40" max="40" width="12.1640625" customWidth="1"/>
    <col min="41" max="41" width="14.1640625" customWidth="1"/>
    <col min="42" max="42" width="9.1640625" customWidth="1"/>
    <col min="43" max="52" width="9.1640625" style="14" customWidth="1"/>
    <col min="53" max="53" width="9.1640625" customWidth="1"/>
    <col min="54" max="54" width="10.33203125" style="36" bestFit="1" customWidth="1"/>
    <col min="55" max="55" width="12.5" style="36" bestFit="1" customWidth="1"/>
    <col min="56" max="56" width="9.5" style="36" bestFit="1" customWidth="1"/>
    <col min="57" max="57" width="9.1640625" style="36" bestFit="1" customWidth="1"/>
    <col min="58" max="58" width="9" style="36" bestFit="1" customWidth="1"/>
    <col min="59" max="59" width="8" style="36" bestFit="1" customWidth="1"/>
    <col min="60" max="60" width="12" style="36" bestFit="1" customWidth="1"/>
    <col min="61" max="61" width="9.5" style="36" bestFit="1" customWidth="1"/>
    <col min="62" max="62" width="6.6640625" style="36" bestFit="1" customWidth="1"/>
    <col min="63" max="63" width="9.5" style="36" bestFit="1" customWidth="1"/>
    <col min="64" max="64" width="13.83203125" style="36" bestFit="1" customWidth="1"/>
    <col min="65" max="65" width="10.1640625" bestFit="1" customWidth="1"/>
    <col min="77" max="77" width="12.5" bestFit="1" customWidth="1"/>
  </cols>
  <sheetData>
    <row r="1" spans="1:85" x14ac:dyDescent="0.2">
      <c r="A1" s="336" t="s">
        <v>27</v>
      </c>
      <c r="B1" s="337"/>
      <c r="D1" s="336" t="s">
        <v>29</v>
      </c>
      <c r="E1" s="338"/>
      <c r="F1" s="90"/>
      <c r="G1" s="95"/>
      <c r="H1" s="92"/>
      <c r="I1" s="338" t="s">
        <v>195</v>
      </c>
      <c r="J1" s="337"/>
      <c r="L1" s="333" t="s">
        <v>44</v>
      </c>
      <c r="M1" s="333"/>
      <c r="N1" s="333"/>
      <c r="O1" s="333"/>
      <c r="P1" t="s">
        <v>48</v>
      </c>
      <c r="Q1" t="s">
        <v>49</v>
      </c>
      <c r="R1" t="s">
        <v>50</v>
      </c>
      <c r="S1" t="s">
        <v>51</v>
      </c>
      <c r="T1" t="s">
        <v>52</v>
      </c>
      <c r="U1" t="s">
        <v>53</v>
      </c>
      <c r="V1" t="s">
        <v>54</v>
      </c>
      <c r="W1" t="s">
        <v>55</v>
      </c>
      <c r="X1" t="s">
        <v>56</v>
      </c>
      <c r="Y1" t="s">
        <v>143</v>
      </c>
      <c r="Z1" t="s">
        <v>70</v>
      </c>
      <c r="AA1" t="s">
        <v>71</v>
      </c>
      <c r="AB1" t="s">
        <v>72</v>
      </c>
      <c r="AC1" t="s">
        <v>73</v>
      </c>
      <c r="AD1" t="s">
        <v>74</v>
      </c>
      <c r="AE1" t="s">
        <v>82</v>
      </c>
      <c r="AF1" t="s">
        <v>83</v>
      </c>
      <c r="AG1" t="s">
        <v>75</v>
      </c>
      <c r="AH1" t="s">
        <v>76</v>
      </c>
      <c r="AI1" s="14" t="s">
        <v>124</v>
      </c>
      <c r="AJ1" t="s">
        <v>77</v>
      </c>
      <c r="AK1" t="s">
        <v>78</v>
      </c>
      <c r="AL1" t="s">
        <v>79</v>
      </c>
      <c r="AM1" t="s">
        <v>84</v>
      </c>
      <c r="AN1" t="s">
        <v>94</v>
      </c>
      <c r="AO1" t="s">
        <v>96</v>
      </c>
      <c r="AQ1" s="14" t="s">
        <v>125</v>
      </c>
      <c r="AR1" s="14" t="s">
        <v>126</v>
      </c>
      <c r="AS1" s="14" t="s">
        <v>127</v>
      </c>
      <c r="AT1" s="14" t="s">
        <v>128</v>
      </c>
      <c r="AU1" s="15" t="s">
        <v>129</v>
      </c>
      <c r="AV1" s="15" t="s">
        <v>130</v>
      </c>
      <c r="AW1" s="15" t="s">
        <v>131</v>
      </c>
      <c r="AX1" s="15" t="s">
        <v>132</v>
      </c>
      <c r="AY1" s="15" t="s">
        <v>133</v>
      </c>
      <c r="AZ1" s="15" t="s">
        <v>134</v>
      </c>
      <c r="BA1" s="15" t="s">
        <v>144</v>
      </c>
      <c r="BB1" s="35" t="s">
        <v>163</v>
      </c>
      <c r="BC1" s="35" t="s">
        <v>166</v>
      </c>
      <c r="BD1" s="35" t="s">
        <v>164</v>
      </c>
      <c r="BE1" s="35" t="s">
        <v>165</v>
      </c>
      <c r="BF1" s="35" t="s">
        <v>167</v>
      </c>
      <c r="BG1" s="35" t="s">
        <v>168</v>
      </c>
      <c r="BH1" s="35" t="s">
        <v>169</v>
      </c>
      <c r="BI1" s="35" t="s">
        <v>170</v>
      </c>
      <c r="BJ1" s="35" t="s">
        <v>171</v>
      </c>
      <c r="BK1" s="35" t="s">
        <v>172</v>
      </c>
      <c r="BL1" s="35" t="s">
        <v>174</v>
      </c>
      <c r="BM1" s="96" t="s">
        <v>181</v>
      </c>
      <c r="BN1" t="s">
        <v>163</v>
      </c>
      <c r="BO1" t="s">
        <v>166</v>
      </c>
      <c r="BP1" t="s">
        <v>164</v>
      </c>
      <c r="BQ1" t="s">
        <v>165</v>
      </c>
      <c r="BR1" t="s">
        <v>167</v>
      </c>
      <c r="BS1" t="s">
        <v>168</v>
      </c>
      <c r="BT1" t="s">
        <v>169</v>
      </c>
      <c r="BU1" t="s">
        <v>170</v>
      </c>
      <c r="BV1" t="s">
        <v>171</v>
      </c>
      <c r="BW1" t="s">
        <v>172</v>
      </c>
      <c r="BX1" s="35" t="s">
        <v>163</v>
      </c>
      <c r="BY1" s="35" t="s">
        <v>166</v>
      </c>
      <c r="BZ1" s="35" t="s">
        <v>164</v>
      </c>
      <c r="CA1" s="35" t="s">
        <v>165</v>
      </c>
      <c r="CB1" s="35" t="s">
        <v>167</v>
      </c>
      <c r="CC1" s="35" t="s">
        <v>168</v>
      </c>
      <c r="CD1" s="35" t="s">
        <v>169</v>
      </c>
      <c r="CE1" s="35" t="s">
        <v>170</v>
      </c>
      <c r="CF1" s="35" t="s">
        <v>171</v>
      </c>
      <c r="CG1" s="35" t="s">
        <v>172</v>
      </c>
    </row>
    <row r="2" spans="1:85" x14ac:dyDescent="0.2">
      <c r="A2" s="4">
        <v>12</v>
      </c>
      <c r="B2" s="5">
        <v>0</v>
      </c>
      <c r="D2" s="4"/>
      <c r="E2" s="1" t="s">
        <v>30</v>
      </c>
      <c r="F2" s="37"/>
      <c r="G2" s="1"/>
      <c r="H2" s="38"/>
      <c r="I2" s="1" t="s">
        <v>185</v>
      </c>
      <c r="J2" s="5">
        <v>9</v>
      </c>
      <c r="L2" t="s">
        <v>43</v>
      </c>
      <c r="M2">
        <v>0</v>
      </c>
      <c r="N2">
        <v>161</v>
      </c>
      <c r="O2">
        <v>321</v>
      </c>
      <c r="P2">
        <v>641</v>
      </c>
      <c r="Q2">
        <v>1441</v>
      </c>
      <c r="R2">
        <v>2801</v>
      </c>
      <c r="S2">
        <v>5601</v>
      </c>
      <c r="T2">
        <v>10001</v>
      </c>
      <c r="U2">
        <v>20001</v>
      </c>
      <c r="V2">
        <v>40001</v>
      </c>
      <c r="W2">
        <v>60001</v>
      </c>
      <c r="X2">
        <v>80001</v>
      </c>
      <c r="Y2">
        <f>IFERROR(IF(VLOOKUP(L2,Karakterlap!$P$3:$Z$4,10,FALSE)&gt;13,112001+((VLOOKUP(L2,Karakterlap!$P$3:$Z$4,10,FALSE)-13)*31200),112001),112001)</f>
        <v>112001</v>
      </c>
      <c r="Z2">
        <v>9</v>
      </c>
      <c r="AA2">
        <v>20</v>
      </c>
      <c r="AB2">
        <v>75</v>
      </c>
      <c r="AC2">
        <v>0</v>
      </c>
      <c r="AD2">
        <f>IFERROR(VLOOKUP(L2,Karakterlap!$P$3:$Z$4,10,FALSE)*11,11)</f>
        <v>11</v>
      </c>
      <c r="AE2">
        <f>IFERROR(IF(Karakterlap!$P$5="Váltott kaszt",IF(Karakterlap!$P$3=Adattábla!$L2,Karakterlap!$Y$3*3,IF(Karakterlap!$P$4=Adattábla!$L2,(Karakterlap!$Y$4-Adattábla!$I$20)*3,3)),VLOOKUP(Adattábla!$L2,Karakterlap!$P$3:$Z$4,10,FALSE)*3),3)</f>
        <v>3</v>
      </c>
      <c r="AF2">
        <f>IFERROR(IF(Karakterlap!$P$5="Váltott kaszt",IF(Karakterlap!$P$3=Adattábla!$L2,Karakterlap!$Y$3*3,IF(Karakterlap!$P$4=Adattábla!$L2,(Karakterlap!$Y$4-Adattábla!$I$20)*3,3)),VLOOKUP(Adattábla!$L2,Karakterlap!$P$3:$Z$4,10,FALSE)*3),3)</f>
        <v>3</v>
      </c>
      <c r="AG2">
        <v>10</v>
      </c>
      <c r="AH2">
        <f>IF(Karakterlap!$P$5="Iker kaszt",IF(Karakterlap!$P$3=L2,IFERROR((Karakterlap!$P$6*14)+(VLOOKUP(L2,Karakterlap!$P$3:$Z$4,10,FALSE)-Karakterlap!$P$6),14),IF(Karakterlap!$P$4=L2,VLOOKUP(L2,Karakterlap!$P$3:$Z$4,10,FALSE),14)),IF(Karakterlap!$P$5="Váltott kaszt",IF(L2=Karakterlap!$P$3,(Karakterlap!$Y$3+3)*14,VLOOKUP(L2,Karakterlap!$P$3:$Z$4,10,FALSE)*14),IFERROR(VLOOKUP(L2,Karakterlap!$P$3:$Z$4,10,FALSE)*14,14)))</f>
        <v>14</v>
      </c>
      <c r="AI2">
        <v>0</v>
      </c>
      <c r="AJ2">
        <v>7</v>
      </c>
      <c r="AK2">
        <v>6</v>
      </c>
      <c r="AL2">
        <f>IFERROR(VLOOKUP(L2,Karakterlap!$P$3:$Z$4,10,FALSE)*($E$18+4),$E$18+4)</f>
        <v>10</v>
      </c>
      <c r="AN2" t="s">
        <v>98</v>
      </c>
      <c r="AQ2" s="14">
        <v>15</v>
      </c>
      <c r="AR2" s="14">
        <v>20</v>
      </c>
      <c r="AS2" s="14">
        <v>10</v>
      </c>
      <c r="BA2">
        <f>IFERROR(IF(Karakterlap!$P$6&gt;13,112001+((Karakterlap!$P$6-13)*31200),112001),112001)</f>
        <v>112001</v>
      </c>
      <c r="BB2" s="36">
        <f>VLOOKUP("k6+12",$I$2:$J$11,2,FALSE)+IFERROR(VLOOKUP(Karakterlap!$V$7,$A$24:$C$33,3,FALSE),0)</f>
        <v>16</v>
      </c>
      <c r="BC2" s="36">
        <f>VLOOKUP("k10+8",$I$2:$J$11,2,FALSE)+IFERROR(VLOOKUP(Karakterlap!$V$7,$A$24:$D$33,4,FALSE),0)</f>
        <v>14</v>
      </c>
      <c r="BD2" s="36">
        <f>VLOOKUP("2k6+6",$I$2:$J$11,2,FALSE)+IFERROR(VLOOKUP(Karakterlap!$V$7,$A$24:$E$33,5,FALSE),0)</f>
        <v>13</v>
      </c>
      <c r="BE2" s="36">
        <f>VLOOKUP("2k6+6",$I$2:$J$11,2,FALSE)+IFERROR(VLOOKUP(Karakterlap!$V$7,$A$24:$F$33,6,FALSE),0)</f>
        <v>13</v>
      </c>
      <c r="BF2" s="48">
        <f>VLOOKUP("k10+10",$I$2:$J$11,2,FALSE)+IFERROR(VLOOKUP(Karakterlap!$V$7,$A$24:$G$33,7,FALSE),0)</f>
        <v>16</v>
      </c>
      <c r="BG2" s="36">
        <f>VLOOKUP("3k6(2x)",$I$2:$J$11,2,FALSE)+IFERROR(VLOOKUP(Karakterlap!$V$7,$A$24:$H$33,8,FALSE),0)</f>
        <v>11</v>
      </c>
      <c r="BH2" s="36">
        <f>VLOOKUP("3k6(2x)",$I$2:$J$11,2,FALSE)+IFERROR(VLOOKUP(Karakterlap!$V$7,$A$24:$I$33,9,FALSE),0)</f>
        <v>11</v>
      </c>
      <c r="BI2" s="36">
        <f>VLOOKUP("2k6+6",$I$2:$J$11,2,FALSE)</f>
        <v>13</v>
      </c>
      <c r="BJ2" s="36">
        <f>VLOOKUP("3k6(2x)",$I$2:$J$11,2,FALSE)+IFERROR(VLOOKUP(Karakterlap!$V$7,$A$24:$J$33,10,FALSE),0)</f>
        <v>11</v>
      </c>
      <c r="BK2" s="36">
        <f>VLOOKUP("2k6+6",$I$2:$J$11,2,FALSE)</f>
        <v>13</v>
      </c>
      <c r="BL2" s="36">
        <f>IF((SUM(Karakterlap!$F$3:$F$12)-SUM(BB2:BK2))&lt;0,0,SUM(Karakterlap!$F$3:$F$12)-SUM(BB2:BK2))</f>
        <v>0</v>
      </c>
      <c r="BM2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2&gt;18,BI2,18))&gt;0,Karakterlap!$F$10-IF(BI2&gt;18,BI2,18),0),0)+IF(Karakterlap!$F$11&gt;(18+IFERROR(VLOOKUP(Karakterlap!$V$7,$A$24:$J$33,10,FALSE),0)),(Karakterlap!$F$11-(18+IFERROR(VLOOKUP(Karakterlap!$V$7,$A$24:$J$33,10,FALSE),0))),0)+IF(Karakterlap!$F$12&gt;18,IF((Karakterlap!$F$12-IF(BK2&gt;18,BK2,18))&gt;0,Karakterlap!$F$12-IF(BK2&gt;18,BK2,18),0),0)</f>
        <v>#VALUE!</v>
      </c>
      <c r="BN2" t="s">
        <v>977</v>
      </c>
      <c r="BO2" t="s">
        <v>977</v>
      </c>
      <c r="BP2" t="s">
        <v>977</v>
      </c>
      <c r="BQ2" t="s">
        <v>977</v>
      </c>
      <c r="BW2" s="5"/>
      <c r="BX2" t="s">
        <v>192</v>
      </c>
      <c r="BY2" s="97" t="s">
        <v>190</v>
      </c>
      <c r="BZ2" s="97" t="s">
        <v>189</v>
      </c>
      <c r="CA2" s="97" t="s">
        <v>189</v>
      </c>
      <c r="CB2" s="97" t="s">
        <v>193</v>
      </c>
      <c r="CC2" s="97" t="s">
        <v>187</v>
      </c>
      <c r="CD2" s="97" t="s">
        <v>187</v>
      </c>
      <c r="CE2" s="97" t="s">
        <v>189</v>
      </c>
      <c r="CF2" s="97" t="s">
        <v>187</v>
      </c>
      <c r="CG2" s="97" t="s">
        <v>189</v>
      </c>
    </row>
    <row r="3" spans="1:85" x14ac:dyDescent="0.2">
      <c r="A3" s="4">
        <v>12.5</v>
      </c>
      <c r="B3" s="5">
        <v>0</v>
      </c>
      <c r="D3" s="6"/>
      <c r="E3" s="88" t="s">
        <v>31</v>
      </c>
      <c r="F3" s="37"/>
      <c r="G3" s="1"/>
      <c r="H3" s="38"/>
      <c r="I3" s="1" t="s">
        <v>186</v>
      </c>
      <c r="J3" s="5">
        <v>10</v>
      </c>
      <c r="L3" t="s">
        <v>152</v>
      </c>
      <c r="M3">
        <v>0</v>
      </c>
      <c r="N3">
        <v>186</v>
      </c>
      <c r="O3">
        <v>373</v>
      </c>
      <c r="P3">
        <v>745</v>
      </c>
      <c r="Q3">
        <v>1489</v>
      </c>
      <c r="R3">
        <v>2977</v>
      </c>
      <c r="S3">
        <v>5953</v>
      </c>
      <c r="T3">
        <v>11901</v>
      </c>
      <c r="U3">
        <v>23801</v>
      </c>
      <c r="V3">
        <v>47601</v>
      </c>
      <c r="W3">
        <v>71401</v>
      </c>
      <c r="X3">
        <v>101001</v>
      </c>
      <c r="Y3">
        <f>IFERROR(IF(VLOOKUP(L3,Karakterlap!$P$3:$Z$4,10,FALSE)&gt;13,151001+((VLOOKUP(L3,Karakterlap!$P$3:$Z$4,10,FALSE)-13)*40500),151001),151001)</f>
        <v>151001</v>
      </c>
      <c r="Z3">
        <v>8</v>
      </c>
      <c r="AA3">
        <v>22</v>
      </c>
      <c r="AB3">
        <v>73</v>
      </c>
      <c r="AC3">
        <v>10</v>
      </c>
      <c r="AD3">
        <f>IFERROR(VLOOKUP(L3,Karakterlap!$P$3:$Z$4,10,FALSE)*10,10)</f>
        <v>10</v>
      </c>
      <c r="AE3">
        <v>0</v>
      </c>
      <c r="AF3">
        <v>0</v>
      </c>
      <c r="AG3">
        <v>8</v>
      </c>
      <c r="AH3">
        <f>IF(Karakterlap!$P$5="Iker kaszt",IF(Karakterlap!$P$3=L3,IFERROR((Karakterlap!$P$6*8)+(VLOOKUP(L3,Karakterlap!$P$3:$Z$4,10,FALSE)-Karakterlap!$P$6),8),IF(Karakterlap!$P$4=L3,VLOOKUP(L3,Karakterlap!$P$3:$Z$4,10,FALSE),8)),IF(Karakterlap!$P$5="Váltott kaszt",IF(L3=Karakterlap!$P$3,(Karakterlap!$Y$3+3)*8,VLOOKUP(L3,Karakterlap!$P$3:$Z$4,10,FALSE)*8),IFERROR(VLOOKUP(L3,Karakterlap!$P$3:$Z$4,10,FALSE)*8,8)))-8</f>
        <v>0</v>
      </c>
      <c r="AI3">
        <v>0</v>
      </c>
      <c r="AJ3">
        <v>7</v>
      </c>
      <c r="AK3">
        <v>7</v>
      </c>
      <c r="AL3">
        <f>IFERROR(VLOOKUP(L3,Karakterlap!$P$3:$Z$4,10,FALSE)*($E$18+4),$E$18+4)</f>
        <v>10</v>
      </c>
      <c r="AN3" t="s">
        <v>98</v>
      </c>
      <c r="BA3">
        <f>IFERROR(IF(Karakterlap!$P$6&gt;13,151001+((Karakterlap!$P$6-13)*40500),151001),151001)</f>
        <v>151001</v>
      </c>
      <c r="BB3" s="36">
        <f>VLOOKUP("2k6+6",$I$2:$J$11,2,FALSE)+IFERROR(VLOOKUP(Karakterlap!$V$7,$A$24:$C$33,3,FALSE),0)</f>
        <v>13</v>
      </c>
      <c r="BC3" s="36">
        <f>VLOOKUP("2k6+6",$I$2:$J$11,2,FALSE)+IFERROR(VLOOKUP(Karakterlap!$V$7,$A$24:$D$33,4,FALSE),0)</f>
        <v>13</v>
      </c>
      <c r="BD3" s="36">
        <f>VLOOKUP("k10+8",$I$2:$J$11,2,FALSE)+IFERROR(VLOOKUP(Karakterlap!$V$7,$A$24:$E$33,5,FALSE),0)</f>
        <v>14</v>
      </c>
      <c r="BE3" s="36">
        <f>VLOOKUP("k10+8",$I$2:$J$11,2,FALSE)+IFERROR(VLOOKUP(Karakterlap!$V$7,$A$24:$F$33,6,FALSE),0)</f>
        <v>14</v>
      </c>
      <c r="BF3" s="36">
        <f>VLOOKUP("2k6+6",$I$2:$J$11,2,FALSE)+IFERROR(VLOOKUP(Karakterlap!$V$7,$A$24:$G$33,7,FALSE),0)</f>
        <v>13</v>
      </c>
      <c r="BG3" s="36">
        <f>VLOOKUP("k10+8",$I$2:$J$11,2,FALSE)+IFERROR(VLOOKUP(Karakterlap!$V$7,$A$24:$H$33,8,FALSE),0)</f>
        <v>14</v>
      </c>
      <c r="BH3" s="36">
        <f>VLOOKUP("3k6(2x)",$I$2:$J$11,2,FALSE)+IFERROR(VLOOKUP(Karakterlap!$V$7,$A$24:$I$33,9,FALSE),0)</f>
        <v>11</v>
      </c>
      <c r="BI3" s="36">
        <f>VLOOKUP("2k6+6",$I$2:$J$11,2,FALSE)</f>
        <v>13</v>
      </c>
      <c r="BJ3" s="36">
        <f>VLOOKUP("3k6(2x)",$I$2:$J$11,2,FALSE)+IFERROR(VLOOKUP(Karakterlap!$V$7,$A$24:$J$33,10,FALSE),0)</f>
        <v>11</v>
      </c>
      <c r="BK3" s="36">
        <f>VLOOKUP("k10+8",$I$2:$J$11,2,FALSE)</f>
        <v>14</v>
      </c>
      <c r="BL3" s="36">
        <f>IF((SUM(Karakterlap!$F$3:$F$12)-SUM(BB3:BK3))&lt;0,0,SUM(Karakterlap!$F$3:$F$12)-SUM(BB3:BK3))</f>
        <v>0</v>
      </c>
      <c r="BM3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3&gt;18,BI3,18))&gt;0,Karakterlap!$F$10-IF(BI3&gt;18,BI3,18),0),0)+IF(Karakterlap!$F$11&gt;(18+IFERROR(VLOOKUP(Karakterlap!$V$7,$A$24:$J$33,10,FALSE),0)),(Karakterlap!$F$11-(18+IFERROR(VLOOKUP(Karakterlap!$V$7,$A$24:$J$33,10,FALSE),0))),0)+IF(Karakterlap!$F$12&gt;18,IF((Karakterlap!$F$12-IF(BK3&gt;18,BK3,18))&gt;0,Karakterlap!$F$12-IF(BK3&gt;18,BK3,18),0),0)</f>
        <v>#VALUE!</v>
      </c>
      <c r="BW3" s="5"/>
      <c r="BX3" s="97" t="s">
        <v>189</v>
      </c>
      <c r="BY3" s="97" t="s">
        <v>189</v>
      </c>
      <c r="BZ3" s="97" t="s">
        <v>190</v>
      </c>
      <c r="CA3" s="97" t="s">
        <v>190</v>
      </c>
      <c r="CB3" s="97" t="s">
        <v>189</v>
      </c>
      <c r="CC3" s="97" t="s">
        <v>190</v>
      </c>
      <c r="CD3" s="97" t="s">
        <v>187</v>
      </c>
      <c r="CE3" s="97" t="s">
        <v>189</v>
      </c>
      <c r="CF3" s="97" t="s">
        <v>187</v>
      </c>
      <c r="CG3" s="97" t="s">
        <v>190</v>
      </c>
    </row>
    <row r="4" spans="1:85" x14ac:dyDescent="0.2">
      <c r="A4" s="4">
        <v>13</v>
      </c>
      <c r="B4" s="5">
        <v>0</v>
      </c>
      <c r="F4" s="1"/>
      <c r="G4" s="1"/>
      <c r="H4" s="38"/>
      <c r="I4" s="1" t="s">
        <v>187</v>
      </c>
      <c r="J4" s="5">
        <v>11</v>
      </c>
      <c r="L4" t="s">
        <v>153</v>
      </c>
      <c r="M4">
        <v>0</v>
      </c>
      <c r="N4">
        <v>166</v>
      </c>
      <c r="O4">
        <v>331</v>
      </c>
      <c r="P4">
        <v>661</v>
      </c>
      <c r="Q4">
        <v>1486</v>
      </c>
      <c r="R4">
        <v>2901</v>
      </c>
      <c r="S4">
        <v>5801</v>
      </c>
      <c r="T4">
        <v>11001</v>
      </c>
      <c r="U4">
        <v>22001</v>
      </c>
      <c r="V4">
        <v>45001</v>
      </c>
      <c r="W4">
        <v>67001</v>
      </c>
      <c r="X4">
        <v>90001</v>
      </c>
      <c r="Y4">
        <f>IFERROR(IF(VLOOKUP(L4,Karakterlap!$P$3:$Z$4,10,FALSE)&gt;13,136001+((VLOOKUP(L4,Karakterlap!$P$3:$Z$4,10,FALSE)-13)*40000),136001),136001)</f>
        <v>136001</v>
      </c>
      <c r="Z4">
        <v>9</v>
      </c>
      <c r="AA4">
        <v>20</v>
      </c>
      <c r="AB4">
        <v>75</v>
      </c>
      <c r="AC4">
        <v>0</v>
      </c>
      <c r="AD4">
        <f>IFERROR(VLOOKUP(L4,Karakterlap!$P$3:$Z$4,10,FALSE)*12,12)</f>
        <v>12</v>
      </c>
      <c r="AE4">
        <f>IFERROR(IF(Karakterlap!$P$5="Váltott kaszt",IF(Karakterlap!$P$3=Adattábla!$L4,Karakterlap!$Y$3*3,IF(Karakterlap!$P$4=Adattábla!$L4,(Karakterlap!$Y$4-Adattábla!$I$20)*3,3)),VLOOKUP(Adattábla!$L4,Karakterlap!$P$3:$Z$4,10,FALSE)*3),3)</f>
        <v>3</v>
      </c>
      <c r="AF4">
        <f>IFERROR(IF(Karakterlap!$P$5="Váltott kaszt",IF(Karakterlap!$P$3=Adattábla!$L4,Karakterlap!$Y$3*3,IF(Karakterlap!$P$4=Adattábla!$L4,(Karakterlap!$Y$4-Adattábla!$I$20)*3,3)),VLOOKUP(Adattábla!$L4,Karakterlap!$P$3:$Z$4,10,FALSE)*3),3)</f>
        <v>3</v>
      </c>
      <c r="AG4">
        <v>4</v>
      </c>
      <c r="AH4">
        <f>IF(Karakterlap!$P$5="Iker kaszt",IF(Karakterlap!$P$3=L4,IFERROR((Karakterlap!$P$6*6)+(VLOOKUP(L4,Karakterlap!$P$3:$Z$4,10,FALSE)-Karakterlap!$P$6),6),IF(Karakterlap!$P$4=L4,VLOOKUP(L4,Karakterlap!$P$3:$Z$4,10,FALSE),6)),IF(Karakterlap!$P$5="Váltott kaszt",IF(L4=Karakterlap!$P$3,(Karakterlap!$Y$3+3)*6,VLOOKUP(L4,Karakterlap!$P$3:$Z$4,10,FALSE)*6),IFERROR(VLOOKUP(L4,Karakterlap!$P$3:$Z$4,10,FALSE)*6,6)))</f>
        <v>6</v>
      </c>
      <c r="AI4">
        <v>0</v>
      </c>
      <c r="AJ4">
        <v>5</v>
      </c>
      <c r="AK4">
        <v>5</v>
      </c>
      <c r="AL4">
        <f>IFERROR(VLOOKUP(L4,Karakterlap!$P$3:$Z$4,10,FALSE)*($E$18+3),$E$18+3)</f>
        <v>9</v>
      </c>
      <c r="AN4" t="s">
        <v>91</v>
      </c>
      <c r="AO4" t="str">
        <f>IFERROR((IF(Karakterlap!$F$9&gt;10,Karakterlap!$F$9-10,0))+4+((VLOOKUP(L4,Karakterlap!$P$3:$Z$4,10,FALSE)-1)*3),"más kaszt")</f>
        <v>más kaszt</v>
      </c>
      <c r="BA4">
        <f>IFERROR(IF(Karakterlap!$P$6&gt;13,136001+((Karakterlap!$P$6-13)*40000),136001),136001)</f>
        <v>136001</v>
      </c>
      <c r="BB4" s="36">
        <f>VLOOKUP("2k6+6",$I$2:$J$11,2,FALSE)+IFERROR(VLOOKUP(Karakterlap!$V$7,$A$24:$C$33,3,FALSE),0)</f>
        <v>13</v>
      </c>
      <c r="BC4" s="36">
        <f>VLOOKUP("3k6(2x)",$I$2:$J$11,2,FALSE)+IFERROR(VLOOKUP(Karakterlap!$V$7,$A$24:$D$33,4,FALSE),0)</f>
        <v>11</v>
      </c>
      <c r="BD4" s="36">
        <f>VLOOKUP("k10+8",$I$2:$J$11,2,FALSE)+IFERROR(VLOOKUP(Karakterlap!$V$7,$A$24:$E$33,5,FALSE),0)</f>
        <v>14</v>
      </c>
      <c r="BE4" s="36">
        <f>VLOOKUP("k10+8",$I$2:$J$11,2,FALSE)+IFERROR(VLOOKUP(Karakterlap!$V$7,$A$24:$F$33,6,FALSE),0)</f>
        <v>14</v>
      </c>
      <c r="BF4" s="36">
        <f>VLOOKUP("3k6",$I$2:$J$11,2,FALSE)+IFERROR(VLOOKUP(Karakterlap!$V$7,$A$24:$G$33,7,FALSE),0)</f>
        <v>10</v>
      </c>
      <c r="BG4" s="36">
        <f>VLOOKUP("3k6(2x)",$I$2:$J$11,2,FALSE)+IFERROR(VLOOKUP(Karakterlap!$V$7,$A$24:$H$33,8,FALSE),0)</f>
        <v>11</v>
      </c>
      <c r="BH4" s="36">
        <f>VLOOKUP("3k6(2x)",$I$2:$J$11,2,FALSE)+IFERROR(VLOOKUP(Karakterlap!$V$7,$A$24:$I$33,9,FALSE),0)</f>
        <v>11</v>
      </c>
      <c r="BI4" s="36">
        <f>VLOOKUP("3k6",$I$2:$J$11,2,FALSE)</f>
        <v>10</v>
      </c>
      <c r="BJ4" s="36">
        <f>VLOOKUP("k6+12",$I$2:$J$11,2,FALSE)+IFERROR(VLOOKUP(Karakterlap!$V$7,$A$24:$J$33,10,FALSE),0)</f>
        <v>16</v>
      </c>
      <c r="BK4" s="36">
        <f>VLOOKUP("k10+8",$I$2:$J$11,2,FALSE)</f>
        <v>14</v>
      </c>
      <c r="BL4" s="36">
        <f>IF((SUM(Karakterlap!$F$3:$F$12)-SUM(BB4:BK4))&lt;0,0,SUM(Karakterlap!$F$3:$F$12)-SUM(BB4:BK4))</f>
        <v>0</v>
      </c>
      <c r="BM4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4&gt;18,BI4,18))&gt;0,Karakterlap!$F$10-IF(BI4&gt;18,BI4,18),0),0)+IF(Karakterlap!$F$11&gt;(18+IFERROR(VLOOKUP(Karakterlap!$V$7,$A$24:$J$33,10,FALSE),0)),(Karakterlap!$F$11-(18+IFERROR(VLOOKUP(Karakterlap!$V$7,$A$24:$J$33,10,FALSE),0))),0)+IF(Karakterlap!$F$12&gt;18,IF((Karakterlap!$F$12-IF(BK4&gt;18,BK4,18))&gt;0,Karakterlap!$F$12-IF(BK4&gt;18,BK4,18),0),0)</f>
        <v>#VALUE!</v>
      </c>
      <c r="BP4" t="s">
        <v>977</v>
      </c>
      <c r="BQ4" t="s">
        <v>977</v>
      </c>
      <c r="BW4" s="5"/>
      <c r="BX4" s="97" t="s">
        <v>189</v>
      </c>
      <c r="BY4" s="97" t="s">
        <v>187</v>
      </c>
      <c r="BZ4" s="97" t="s">
        <v>190</v>
      </c>
      <c r="CA4" s="97" t="s">
        <v>190</v>
      </c>
      <c r="CB4" s="97" t="s">
        <v>186</v>
      </c>
      <c r="CC4" s="97" t="s">
        <v>187</v>
      </c>
      <c r="CD4" s="97" t="s">
        <v>187</v>
      </c>
      <c r="CE4" s="97" t="s">
        <v>186</v>
      </c>
      <c r="CF4" s="97" t="s">
        <v>192</v>
      </c>
      <c r="CG4" s="97" t="s">
        <v>190</v>
      </c>
    </row>
    <row r="5" spans="1:85" x14ac:dyDescent="0.2">
      <c r="A5" s="4">
        <v>13.5</v>
      </c>
      <c r="B5" s="5">
        <v>0</v>
      </c>
      <c r="D5" s="336" t="s">
        <v>40</v>
      </c>
      <c r="E5" s="338"/>
      <c r="F5" s="37"/>
      <c r="G5" s="1"/>
      <c r="H5" s="38"/>
      <c r="I5" s="1" t="s">
        <v>188</v>
      </c>
      <c r="J5" s="5">
        <v>12</v>
      </c>
      <c r="L5" t="s">
        <v>154</v>
      </c>
      <c r="M5">
        <v>0</v>
      </c>
      <c r="N5">
        <v>151</v>
      </c>
      <c r="O5">
        <v>311</v>
      </c>
      <c r="P5">
        <v>631</v>
      </c>
      <c r="Q5">
        <v>1301</v>
      </c>
      <c r="R5">
        <v>2701</v>
      </c>
      <c r="S5">
        <v>5401</v>
      </c>
      <c r="T5">
        <v>10801</v>
      </c>
      <c r="U5">
        <v>21601</v>
      </c>
      <c r="V5">
        <v>42001</v>
      </c>
      <c r="W5">
        <v>65001</v>
      </c>
      <c r="X5">
        <v>90001</v>
      </c>
      <c r="Y5">
        <f>IFERROR(IF(VLOOKUP(L5,Karakterlap!$P$3:$Z$4,10,FALSE)&gt;13,120001+((VLOOKUP(L5,Karakterlap!$P$3:$Z$4,10,FALSE)-13)*32500),120001),120001)</f>
        <v>120001</v>
      </c>
      <c r="Z5">
        <v>10</v>
      </c>
      <c r="AA5">
        <v>26</v>
      </c>
      <c r="AB5">
        <v>70</v>
      </c>
      <c r="AC5">
        <v>0</v>
      </c>
      <c r="AD5">
        <f>IFERROR(VLOOKUP(L5,Karakterlap!$P$3:$Z$4,10,FALSE)*12,12)</f>
        <v>12</v>
      </c>
      <c r="AE5">
        <f>IFERROR(IF(Karakterlap!$P$5="Váltott kaszt",IF(Karakterlap!$P$3=Adattábla!$L5,Karakterlap!$Y$3*5,IF(Karakterlap!$P$4=Adattábla!$L5,(Karakterlap!$Y$4-Adattábla!$I$20)*5,5)),VLOOKUP(Adattábla!$L5,Karakterlap!$P$3:$Z$4,10,FALSE)*5),5)</f>
        <v>5</v>
      </c>
      <c r="AF5">
        <v>0</v>
      </c>
      <c r="AG5">
        <v>7</v>
      </c>
      <c r="AH5">
        <f>IF(Karakterlap!$P$5="Iker kaszt",IF(Karakterlap!$P$3=L5,IFERROR((Karakterlap!$P$6*10)+(VLOOKUP(L5,Karakterlap!$P$3:$Z$4,10,FALSE)-Karakterlap!$P$6),10),IF(Karakterlap!$P$4=L5,VLOOKUP(L5,Karakterlap!$P$3:$Z$4,10,FALSE),10)),IF(Karakterlap!$P$5="Váltott kaszt",IF(L5=Karakterlap!$P$3,(Karakterlap!$Y$3+3)*10,VLOOKUP(L5,Karakterlap!$P$3:$Z$4,10,FALSE)*10),IFERROR(VLOOKUP(L5,Karakterlap!$P$3:$Z$4,10,FALSE)*10,10)))</f>
        <v>10</v>
      </c>
      <c r="AI5">
        <v>0</v>
      </c>
      <c r="AJ5">
        <v>8</v>
      </c>
      <c r="AK5">
        <v>7</v>
      </c>
      <c r="AL5">
        <f>IFERROR(VLOOKUP(L5,Karakterlap!$P$3:$Z$4,10,FALSE)*($E$18+5),$E$18+5)</f>
        <v>11</v>
      </c>
      <c r="AN5" t="s">
        <v>157</v>
      </c>
      <c r="AR5" s="14">
        <v>40</v>
      </c>
      <c r="AS5" s="14">
        <v>25</v>
      </c>
      <c r="BA5">
        <f>IFERROR(IF(Karakterlap!$P$6&gt;13,120001+((Karakterlap!$P$6-13)*32500),120001),120001)</f>
        <v>120001</v>
      </c>
      <c r="BB5" s="48">
        <f>VLOOKUP("k6+14",$I$2:$J$11,2,FALSE)+IFERROR(VLOOKUP(Karakterlap!$V$7,$A$24:$C$33,3,FALSE),0)</f>
        <v>18</v>
      </c>
      <c r="BC5" s="48">
        <f>VLOOKUP("k6+14",$I$2:$J$11,2,FALSE)+IFERROR(VLOOKUP(Karakterlap!$V$7,$A$24:$D$33,4,FALSE),0)</f>
        <v>18</v>
      </c>
      <c r="BD5" s="36">
        <f>VLOOKUP("k10+8",$I$2:$J$11,2,FALSE)+IFERROR(VLOOKUP(Karakterlap!$V$7,$A$24:$E$33,5,FALSE),0)</f>
        <v>14</v>
      </c>
      <c r="BE5" s="36">
        <f>VLOOKUP("2k6+6",$I$2:$J$11,2,FALSE)+IFERROR(VLOOKUP(Karakterlap!$V$7,$A$24:$F$33,6,FALSE),0)</f>
        <v>13</v>
      </c>
      <c r="BF5" s="48">
        <f>VLOOKUP("k10+10",$I$2:$J$11,2,FALSE)+IFERROR(VLOOKUP(Karakterlap!$V$7,$A$24:$G$33,7,FALSE),0)</f>
        <v>16</v>
      </c>
      <c r="BG5" s="36">
        <f>VLOOKUP("3k6(2x)",$I$2:$J$11,2,FALSE)+IFERROR(VLOOKUP(Karakterlap!$V$7,$A$24:$H$33,8,FALSE),0)</f>
        <v>11</v>
      </c>
      <c r="BH5" s="36">
        <f>VLOOKUP("3k6",$I$2:$J$11,2,FALSE)+IFERROR(VLOOKUP(Karakterlap!$V$7,$A$24:$I$33,9,FALSE),0)</f>
        <v>10</v>
      </c>
      <c r="BI5" s="36">
        <f>VLOOKUP("2k6+6",$I$2:$J$11,2,FALSE)</f>
        <v>13</v>
      </c>
      <c r="BJ5" s="36">
        <f>VLOOKUP("3k6",$I$2:$J$11,2,FALSE)-1+IFERROR(VLOOKUP(Karakterlap!$V$7,$A$24:$J$33,10,FALSE),0)</f>
        <v>9</v>
      </c>
      <c r="BK5" s="36">
        <f>VLOOKUP("k10+8",$I$2:$J$11,2,FALSE)</f>
        <v>14</v>
      </c>
      <c r="BL5" s="36">
        <f>IF((SUM(Karakterlap!$F$3:$F$12)-SUM(BB5:BK5))&lt;0,0,SUM(Karakterlap!$F$3:$F$12)-SUM(BB5:BK5))</f>
        <v>0</v>
      </c>
      <c r="BM5" s="5" t="e">
        <f>IF(Karakterlap!$F$3&gt;(20+IFERROR(VLOOKUP(Karakterlap!$V$7,$A$24:$C$33,3,FALSE),0)),Karakterlap!$F$3-(20+IFERROR(VLOOKUP(Karakterlap!$V$7,$A$24:$C$33,3,FALSE),0)),0)+IF(Karakterlap!$F$4&gt;(20+IFERROR(VLOOKUP(Karakterlap!$V$7,$A$24:$D$33,4,FALSE),0)),Karakterlap!$F$4-(20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5&gt;18,BI5,18))&gt;0,Karakterlap!$F$10-IF(BI5&gt;18,BI5,18),0),0)+IF(Karakterlap!$F$11&gt;(18+IFERROR(VLOOKUP(Karakterlap!$V$7,$A$24:$J$33,10,FALSE),0)),(Karakterlap!$F$11-(18+IFERROR(VLOOKUP(Karakterlap!$V$7,$A$24:$J$33,10,FALSE),0))),0)+IF(Karakterlap!$F$12&gt;18,IF((Karakterlap!$F$12-IF(BK5&gt;18,BK5,18))&gt;0,Karakterlap!$F$12-IF(BK5&gt;18,BK5,18),0),0)</f>
        <v>#VALUE!</v>
      </c>
      <c r="BN5" t="s">
        <v>977</v>
      </c>
      <c r="BW5" s="5"/>
      <c r="BX5" s="97" t="s">
        <v>194</v>
      </c>
      <c r="BY5" s="97" t="s">
        <v>194</v>
      </c>
      <c r="BZ5" s="97" t="s">
        <v>190</v>
      </c>
      <c r="CA5" s="97" t="s">
        <v>189</v>
      </c>
      <c r="CB5" s="97" t="s">
        <v>193</v>
      </c>
      <c r="CC5" s="97" t="s">
        <v>187</v>
      </c>
      <c r="CD5" s="97" t="s">
        <v>186</v>
      </c>
      <c r="CE5" s="97" t="s">
        <v>189</v>
      </c>
      <c r="CF5" s="97" t="s">
        <v>186</v>
      </c>
      <c r="CG5" s="97" t="s">
        <v>190</v>
      </c>
    </row>
    <row r="6" spans="1:85" x14ac:dyDescent="0.2">
      <c r="A6" s="4">
        <v>14</v>
      </c>
      <c r="B6" s="5">
        <v>0</v>
      </c>
      <c r="D6" s="4"/>
      <c r="E6" s="1" t="s">
        <v>41</v>
      </c>
      <c r="F6" s="37"/>
      <c r="G6" s="1"/>
      <c r="H6" s="38"/>
      <c r="I6" s="1" t="s">
        <v>189</v>
      </c>
      <c r="J6" s="5">
        <v>13</v>
      </c>
      <c r="L6" t="s">
        <v>679</v>
      </c>
      <c r="M6">
        <v>0</v>
      </c>
      <c r="N6">
        <v>161</v>
      </c>
      <c r="O6">
        <v>321</v>
      </c>
      <c r="P6">
        <v>641</v>
      </c>
      <c r="Q6">
        <v>1441</v>
      </c>
      <c r="R6">
        <v>2801</v>
      </c>
      <c r="S6">
        <v>5601</v>
      </c>
      <c r="T6">
        <v>10001</v>
      </c>
      <c r="U6">
        <v>20001</v>
      </c>
      <c r="V6">
        <v>40001</v>
      </c>
      <c r="W6">
        <v>60001</v>
      </c>
      <c r="X6">
        <v>80001</v>
      </c>
      <c r="Y6">
        <f>IFERROR(IF(VLOOKUP(L6,Karakterlap!$P$3:$Z$4,10,FALSE)&gt;13,112001+((VLOOKUP(L6,Karakterlap!$P$3:$Z$4,10,FALSE)-13)*31200),112001),112001)</f>
        <v>112001</v>
      </c>
      <c r="Z6">
        <v>9</v>
      </c>
      <c r="AA6">
        <v>20</v>
      </c>
      <c r="AB6">
        <v>75</v>
      </c>
      <c r="AC6">
        <v>0</v>
      </c>
      <c r="AD6">
        <f>IFERROR(VLOOKUP(L6,Karakterlap!$P$3:$Z$4,10,FALSE)*11,11)</f>
        <v>11</v>
      </c>
      <c r="AE6">
        <f>IFERROR(IF(Karakterlap!$P$5="Váltott kaszt",IF(Karakterlap!$P$3=Adattábla!$L6,Karakterlap!$Y$3*3,IF(Karakterlap!$P$4=Adattábla!$L6,(Karakterlap!$Y$4-Adattábla!$I$20)*3,3)),VLOOKUP(Adattábla!$L6,Karakterlap!$P$3:$Z$4,10,FALSE)*3),3)</f>
        <v>3</v>
      </c>
      <c r="AF6">
        <f>IFERROR(IF(Karakterlap!$P$5="Váltott kaszt",IF(Karakterlap!$P$3=Adattábla!$L6,Karakterlap!$Y$3*3,IF(Karakterlap!$P$4=Adattábla!$L6,(Karakterlap!$Y$4-Adattábla!$I$20)*3,3)),VLOOKUP(Adattábla!$L6,Karakterlap!$P$3:$Z$4,10,FALSE)*3),3)</f>
        <v>3</v>
      </c>
      <c r="AG6">
        <v>10</v>
      </c>
      <c r="AH6">
        <f>IF(Karakterlap!$P$5="Iker kaszt",IF(Karakterlap!$P$3=L6,IFERROR((Karakterlap!$P$6*14)+(VLOOKUP(L6,Karakterlap!$P$3:$Z$4,10,FALSE)-Karakterlap!$P$6),14),IF(Karakterlap!$P$4=L6,VLOOKUP(L6,Karakterlap!$P$3:$Z$4,10,FALSE),14)),IF(Karakterlap!$P$5="Váltott kaszt",IF(L6=Karakterlap!$P$3,(Karakterlap!$Y$3+3)*14,VLOOKUP(L6,Karakterlap!$P$3:$Z$4,10,FALSE)*14),IFERROR(VLOOKUP(L6,Karakterlap!$P$3:$Z$4,10,FALSE)*14,14)))</f>
        <v>14</v>
      </c>
      <c r="AI6">
        <v>0</v>
      </c>
      <c r="AJ6">
        <v>7</v>
      </c>
      <c r="AK6">
        <v>6</v>
      </c>
      <c r="AL6">
        <f>IFERROR(VLOOKUP(L6,Karakterlap!$P$3:$Z$4,10,FALSE)*($E$18+4),$E$18+4)</f>
        <v>10</v>
      </c>
      <c r="AN6" t="s">
        <v>98</v>
      </c>
      <c r="BA6">
        <f>IFERROR(IF(Karakterlap!$P$6&gt;13,112001+((Karakterlap!$P$6-13)*31200),112001),112001)</f>
        <v>112001</v>
      </c>
      <c r="BB6" s="36">
        <f>VLOOKUP("k6+12",$I$2:$J$11,2,FALSE)+IFERROR(VLOOKUP(Karakterlap!$V$7,$A$24:$C$33,3,FALSE),0)</f>
        <v>16</v>
      </c>
      <c r="BC6" s="36">
        <f>VLOOKUP("k10+8",$I$2:$J$11,2,FALSE)+IFERROR(VLOOKUP(Karakterlap!$V$7,$A$24:$D$33,4,FALSE),0)</f>
        <v>14</v>
      </c>
      <c r="BD6" s="36">
        <f>VLOOKUP("2k6+6",$I$2:$J$11,2,FALSE)+IFERROR(VLOOKUP(Karakterlap!$V$7,$A$24:$E$33,5,FALSE),0)</f>
        <v>13</v>
      </c>
      <c r="BE6" s="36">
        <f>VLOOKUP("2k6+6",$I$2:$J$11,2,FALSE)+IFERROR(VLOOKUP(Karakterlap!$V$7,$A$24:$F$33,6,FALSE),0)</f>
        <v>13</v>
      </c>
      <c r="BF6" s="48">
        <f>VLOOKUP("k10+10",$I$2:$J$11,2,FALSE)+IFERROR(VLOOKUP(Karakterlap!$V$7,$A$24:$G$33,7,FALSE),0)</f>
        <v>16</v>
      </c>
      <c r="BG6" s="36">
        <f>VLOOKUP("3k6(2x)",$I$2:$J$11,2,FALSE)+IFERROR(VLOOKUP(Karakterlap!$V$7,$A$24:$H$33,8,FALSE),0)</f>
        <v>11</v>
      </c>
      <c r="BH6" s="36">
        <f>VLOOKUP("3k6(2x)",$I$2:$J$11,2,FALSE)+IFERROR(VLOOKUP(Karakterlap!$V$7,$A$24:$I$33,9,FALSE),0)</f>
        <v>11</v>
      </c>
      <c r="BI6" s="36">
        <f>VLOOKUP("2k6+6",$I$2:$J$11,2,FALSE)</f>
        <v>13</v>
      </c>
      <c r="BJ6" s="36">
        <f>VLOOKUP("3k6(2x)",$I$2:$J$11,2,FALSE)+IFERROR(VLOOKUP(Karakterlap!$V$7,$A$24:$J$33,10,FALSE),0)</f>
        <v>11</v>
      </c>
      <c r="BK6" s="36">
        <f>VLOOKUP("2k6+6",$I$2:$J$11,2,FALSE)</f>
        <v>13</v>
      </c>
      <c r="BL6" s="36">
        <f>IF((SUM(Karakterlap!$F$3:$F$12)-SUM(BB6:BK6))&lt;0,0,SUM(Karakterlap!$F$3:$F$12)-SUM(BB6:BK6))</f>
        <v>0</v>
      </c>
      <c r="BM6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6&gt;18,BI6,18))&gt;0,Karakterlap!$F$10-IF(BI6&gt;18,BI6,18),0),0)+IF(Karakterlap!$F$11&gt;(18+IFERROR(VLOOKUP(Karakterlap!$V$7,$A$24:$J$33,10,FALSE),0)),(Karakterlap!$F$11-(18+IFERROR(VLOOKUP(Karakterlap!$V$7,$A$24:$J$33,10,FALSE),0))),0)+IF(Karakterlap!$F$12&gt;18,IF((Karakterlap!$F$12-IF(BK6&gt;18,BK6,18))&gt;0,Karakterlap!$F$12-IF(BK6&gt;18,BK6,18),0),0)</f>
        <v>#VALUE!</v>
      </c>
      <c r="BN6" t="s">
        <v>977</v>
      </c>
      <c r="BO6" t="s">
        <v>977</v>
      </c>
      <c r="BP6" t="s">
        <v>977</v>
      </c>
      <c r="BQ6" t="s">
        <v>977</v>
      </c>
      <c r="BW6" s="5"/>
      <c r="BX6" s="97" t="s">
        <v>192</v>
      </c>
      <c r="BY6" s="97" t="s">
        <v>190</v>
      </c>
      <c r="BZ6" s="97" t="s">
        <v>189</v>
      </c>
      <c r="CA6" s="97" t="s">
        <v>189</v>
      </c>
      <c r="CB6" s="97" t="s">
        <v>193</v>
      </c>
      <c r="CC6" s="97" t="s">
        <v>187</v>
      </c>
      <c r="CD6" s="97" t="s">
        <v>187</v>
      </c>
      <c r="CE6" s="97" t="s">
        <v>189</v>
      </c>
      <c r="CF6" s="97" t="s">
        <v>187</v>
      </c>
      <c r="CG6" s="97" t="s">
        <v>189</v>
      </c>
    </row>
    <row r="7" spans="1:85" x14ac:dyDescent="0.2">
      <c r="A7" s="4">
        <v>14.5</v>
      </c>
      <c r="B7" s="5">
        <v>0</v>
      </c>
      <c r="D7" s="6"/>
      <c r="E7" s="88" t="s">
        <v>42</v>
      </c>
      <c r="F7" s="37"/>
      <c r="G7" s="1"/>
      <c r="H7" s="38"/>
      <c r="I7" s="1" t="s">
        <v>190</v>
      </c>
      <c r="J7" s="5">
        <v>14</v>
      </c>
      <c r="L7" t="s">
        <v>680</v>
      </c>
      <c r="M7">
        <v>0</v>
      </c>
      <c r="N7">
        <v>161</v>
      </c>
      <c r="O7">
        <v>321</v>
      </c>
      <c r="P7">
        <v>641</v>
      </c>
      <c r="Q7">
        <v>1441</v>
      </c>
      <c r="R7">
        <v>2801</v>
      </c>
      <c r="S7">
        <v>5601</v>
      </c>
      <c r="T7">
        <v>10001</v>
      </c>
      <c r="U7">
        <v>20001</v>
      </c>
      <c r="V7">
        <v>40001</v>
      </c>
      <c r="W7">
        <v>60001</v>
      </c>
      <c r="X7">
        <v>80001</v>
      </c>
      <c r="Y7">
        <f>IFERROR(IF(VLOOKUP(L7,Karakterlap!$P$3:$Z$4,10,FALSE)&gt;13,112001+((VLOOKUP(L7,Karakterlap!$P$3:$Z$4,10,FALSE)-13)*31200),112001),112001)</f>
        <v>112001</v>
      </c>
      <c r="Z7">
        <v>9</v>
      </c>
      <c r="AA7">
        <v>20</v>
      </c>
      <c r="AB7">
        <v>75</v>
      </c>
      <c r="AC7">
        <v>0</v>
      </c>
      <c r="AD7">
        <f>IFERROR(VLOOKUP(L7,Karakterlap!$P$3:$Z$4,10,FALSE)*11,11)</f>
        <v>11</v>
      </c>
      <c r="AE7">
        <f>IFERROR(IF(Karakterlap!$P$5="Váltott kaszt",IF(Karakterlap!$P$3=Adattábla!$L7,Karakterlap!$Y$3*3,IF(Karakterlap!$P$4=Adattábla!$L7,(Karakterlap!$Y$4-Adattábla!$I$20)*3,3)),VLOOKUP(Adattábla!$L7,Karakterlap!$P$3:$Z$4,10,FALSE)*3),3)</f>
        <v>3</v>
      </c>
      <c r="AF7">
        <f>IFERROR(IF(Karakterlap!$P$5="Váltott kaszt",IF(Karakterlap!$P$3=Adattábla!$L7,Karakterlap!$Y$3*3,IF(Karakterlap!$P$4=Adattábla!$L7,(Karakterlap!$Y$4-Adattábla!$I$20)*3,3)),VLOOKUP(Adattábla!$L7,Karakterlap!$P$3:$Z$4,10,FALSE)*3),3)</f>
        <v>3</v>
      </c>
      <c r="AG7">
        <v>10</v>
      </c>
      <c r="AH7">
        <f>IF(Karakterlap!$P$5="Iker kaszt",IF(Karakterlap!$P$3=L7,IFERROR((Karakterlap!$P$6*14)+(VLOOKUP(L7,Karakterlap!$P$3:$Z$4,10,FALSE)-Karakterlap!$P$6),14),IF(Karakterlap!$P$4=L7,VLOOKUP(L7,Karakterlap!$P$3:$Z$4,10,FALSE),14)),IF(Karakterlap!$P$5="Váltott kaszt",IF(L7=Karakterlap!$P$3,(Karakterlap!$Y$3+3)*14,VLOOKUP(L7,Karakterlap!$P$3:$Z$4,10,FALSE)*14),IFERROR(VLOOKUP(L7,Karakterlap!$P$3:$Z$4,10,FALSE)*14,14)))</f>
        <v>14</v>
      </c>
      <c r="AI7">
        <v>0</v>
      </c>
      <c r="AJ7">
        <v>7</v>
      </c>
      <c r="AK7">
        <v>6</v>
      </c>
      <c r="AL7">
        <f>IFERROR(VLOOKUP(L7,Karakterlap!$P$3:$Z$4,10,FALSE)*($E$18+4),$E$18+4)</f>
        <v>10</v>
      </c>
      <c r="AN7" t="s">
        <v>98</v>
      </c>
      <c r="AS7" s="14">
        <v>10</v>
      </c>
      <c r="BA7">
        <f>IFERROR(IF(Karakterlap!$P$6&gt;13,112001+((Karakterlap!$P$6-13)*31200),112001),112001)</f>
        <v>112001</v>
      </c>
      <c r="BB7" s="36">
        <f>VLOOKUP("k6+12",$I$2:$J$11,2,FALSE)+IFERROR(VLOOKUP(Karakterlap!$V$7,$A$24:$C$33,3,FALSE),0)</f>
        <v>16</v>
      </c>
      <c r="BC7" s="36">
        <f>VLOOKUP("k10+8",$I$2:$J$11,2,FALSE)+IFERROR(VLOOKUP(Karakterlap!$V$7,$A$24:$D$33,4,FALSE),0)</f>
        <v>14</v>
      </c>
      <c r="BD7" s="36">
        <f>VLOOKUP("2k6+6",$I$2:$J$11,2,FALSE)+IFERROR(VLOOKUP(Karakterlap!$V$7,$A$24:$E$33,5,FALSE),0)</f>
        <v>13</v>
      </c>
      <c r="BE7" s="36">
        <f>VLOOKUP("2k6+6",$I$2:$J$11,2,FALSE)+IFERROR(VLOOKUP(Karakterlap!$V$7,$A$24:$F$33,6,FALSE),0)</f>
        <v>13</v>
      </c>
      <c r="BF7" s="48">
        <f>VLOOKUP("k10+10",$I$2:$J$11,2,FALSE)+IFERROR(VLOOKUP(Karakterlap!$V$7,$A$24:$G$33,7,FALSE),0)</f>
        <v>16</v>
      </c>
      <c r="BG7" s="36">
        <f>VLOOKUP("3k6(2x)",$I$2:$J$11,2,FALSE)+IFERROR(VLOOKUP(Karakterlap!$V$7,$A$24:$H$33,8,FALSE),0)</f>
        <v>11</v>
      </c>
      <c r="BH7" s="36">
        <f>VLOOKUP("3k6(2x)",$I$2:$J$11,2,FALSE)+IFERROR(VLOOKUP(Karakterlap!$V$7,$A$24:$I$33,9,FALSE),0)</f>
        <v>11</v>
      </c>
      <c r="BI7" s="36">
        <f>VLOOKUP("2k6+6",$I$2:$J$11,2,FALSE)</f>
        <v>13</v>
      </c>
      <c r="BJ7" s="36">
        <f>VLOOKUP("3k6(2x)",$I$2:$J$11,2,FALSE)+IFERROR(VLOOKUP(Karakterlap!$V$7,$A$24:$J$33,10,FALSE),0)</f>
        <v>11</v>
      </c>
      <c r="BK7" s="36">
        <f>VLOOKUP("2k6+6",$I$2:$J$11,2,FALSE)</f>
        <v>13</v>
      </c>
      <c r="BL7" s="36">
        <f>IF((SUM(Karakterlap!$F$3:$F$12)-SUM(BB7:BK7))&lt;0,0,SUM(Karakterlap!$F$3:$F$12)-SUM(BB7:BK7))</f>
        <v>0</v>
      </c>
      <c r="BM7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7&gt;18,BI7,18))&gt;0,Karakterlap!$F$10-IF(BI7&gt;18,BI7,18),0),0)+IF(Karakterlap!$F$11&gt;(18+IFERROR(VLOOKUP(Karakterlap!$V$7,$A$24:$J$33,10,FALSE),0)),(Karakterlap!$F$11-(18+IFERROR(VLOOKUP(Karakterlap!$V$7,$A$24:$J$33,10,FALSE),0))),0)+IF(Karakterlap!$F$12&gt;18,IF((Karakterlap!$F$12-IF(BK7&gt;18,BK7,18))&gt;0,Karakterlap!$F$12-IF(BK7&gt;18,BK7,18),0),0)</f>
        <v>#VALUE!</v>
      </c>
      <c r="BN7" t="s">
        <v>977</v>
      </c>
      <c r="BO7" t="s">
        <v>977</v>
      </c>
      <c r="BP7" t="s">
        <v>977</v>
      </c>
      <c r="BQ7" t="s">
        <v>977</v>
      </c>
      <c r="BW7" s="5"/>
      <c r="BX7" s="97" t="s">
        <v>192</v>
      </c>
      <c r="BY7" s="97" t="s">
        <v>190</v>
      </c>
      <c r="BZ7" s="97" t="s">
        <v>189</v>
      </c>
      <c r="CA7" s="97" t="s">
        <v>189</v>
      </c>
      <c r="CB7" s="97" t="s">
        <v>193</v>
      </c>
      <c r="CC7" s="97" t="s">
        <v>187</v>
      </c>
      <c r="CD7" s="97" t="s">
        <v>187</v>
      </c>
      <c r="CE7" s="97" t="s">
        <v>189</v>
      </c>
      <c r="CF7" s="97" t="s">
        <v>187</v>
      </c>
      <c r="CG7" s="97" t="s">
        <v>189</v>
      </c>
    </row>
    <row r="8" spans="1:85" x14ac:dyDescent="0.2">
      <c r="A8" s="4">
        <v>15</v>
      </c>
      <c r="B8" s="5">
        <v>0</v>
      </c>
      <c r="F8" s="1"/>
      <c r="G8" s="1"/>
      <c r="H8" s="38"/>
      <c r="I8" s="1" t="s">
        <v>191</v>
      </c>
      <c r="J8" s="5">
        <v>15</v>
      </c>
      <c r="L8" t="s">
        <v>681</v>
      </c>
      <c r="M8">
        <v>0</v>
      </c>
      <c r="N8">
        <v>161</v>
      </c>
      <c r="O8">
        <v>321</v>
      </c>
      <c r="P8">
        <v>641</v>
      </c>
      <c r="Q8">
        <v>1441</v>
      </c>
      <c r="R8">
        <v>2801</v>
      </c>
      <c r="S8">
        <v>5601</v>
      </c>
      <c r="T8">
        <v>10001</v>
      </c>
      <c r="U8">
        <v>20001</v>
      </c>
      <c r="V8">
        <v>40001</v>
      </c>
      <c r="W8">
        <v>60001</v>
      </c>
      <c r="X8">
        <v>80001</v>
      </c>
      <c r="Y8">
        <f>IFERROR(IF(VLOOKUP(L8,Karakterlap!$P$3:$Z$4,10,FALSE)&gt;13,112001+((VLOOKUP(L8,Karakterlap!$P$3:$Z$4,10,FALSE)-13)*31200),112001),112001)</f>
        <v>112001</v>
      </c>
      <c r="Z8">
        <v>9</v>
      </c>
      <c r="AA8">
        <v>20</v>
      </c>
      <c r="AB8">
        <v>75</v>
      </c>
      <c r="AC8">
        <v>0</v>
      </c>
      <c r="AD8">
        <f>IFERROR(VLOOKUP(L8,Karakterlap!$P$3:$Z$4,10,FALSE)*11,11)</f>
        <v>11</v>
      </c>
      <c r="AE8">
        <f>IFERROR(IF(Karakterlap!$P$5="Váltott kaszt",IF(Karakterlap!$P$3=Adattábla!$L8,Karakterlap!$Y$3*3,IF(Karakterlap!$P$4=Adattábla!$L8,(Karakterlap!$Y$4-Adattábla!$I$20)*3,3)),VLOOKUP(Adattábla!$L8,Karakterlap!$P$3:$Z$4,10,FALSE)*3),3)</f>
        <v>3</v>
      </c>
      <c r="AF8">
        <f>IFERROR(IF(Karakterlap!$P$5="Váltott kaszt",IF(Karakterlap!$P$3=Adattábla!$L8,Karakterlap!$Y$3*3,IF(Karakterlap!$P$4=Adattábla!$L8,(Karakterlap!$Y$4-Adattábla!$I$20)*3,3)),VLOOKUP(Adattábla!$L8,Karakterlap!$P$3:$Z$4,10,FALSE)*3),3)</f>
        <v>3</v>
      </c>
      <c r="AG8">
        <v>10</v>
      </c>
      <c r="AH8">
        <f>IF(Karakterlap!$P$5="Iker kaszt",IF(Karakterlap!$P$3=L8,IFERROR((Karakterlap!$P$6*14)+(VLOOKUP(L8,Karakterlap!$P$3:$Z$4,10,FALSE)-Karakterlap!$P$6),14),IF(Karakterlap!$P$4=L8,VLOOKUP(L8,Karakterlap!$P$3:$Z$4,10,FALSE),14)),IF(Karakterlap!$P$5="Váltott kaszt",IF(L8=Karakterlap!$P$3,(Karakterlap!$Y$3+3)*14,VLOOKUP(L8,Karakterlap!$P$3:$Z$4,10,FALSE)*14),IFERROR(VLOOKUP(L8,Karakterlap!$P$3:$Z$4,10,FALSE)*14,14)))</f>
        <v>14</v>
      </c>
      <c r="AI8">
        <v>0</v>
      </c>
      <c r="AJ8">
        <v>7</v>
      </c>
      <c r="AK8">
        <v>6</v>
      </c>
      <c r="AL8">
        <f>IFERROR(VLOOKUP(L8,Karakterlap!$P$3:$Z$4,10,FALSE)*($E$18+4),$E$18+4)</f>
        <v>10</v>
      </c>
      <c r="AN8" t="s">
        <v>98</v>
      </c>
      <c r="BA8">
        <f>IFERROR(IF(Karakterlap!$P$6&gt;13,112001+((Karakterlap!$P$6-13)*31200),112001),112001)</f>
        <v>112001</v>
      </c>
      <c r="BB8" s="36">
        <f>VLOOKUP("k6+12",$I$2:$J$11,2,FALSE)+IFERROR(VLOOKUP(Karakterlap!$V$7,$A$24:$C$33,3,FALSE),0)</f>
        <v>16</v>
      </c>
      <c r="BC8" s="36">
        <f>VLOOKUP("k10+8",$I$2:$J$11,2,FALSE)+IFERROR(VLOOKUP(Karakterlap!$V$7,$A$24:$D$33,4,FALSE),0)</f>
        <v>14</v>
      </c>
      <c r="BD8" s="36">
        <f>VLOOKUP("2k6+6",$I$2:$J$11,2,FALSE)+IFERROR(VLOOKUP(Karakterlap!$V$7,$A$24:$E$33,5,FALSE),0)</f>
        <v>13</v>
      </c>
      <c r="BE8" s="36">
        <f>VLOOKUP("2k6+6",$I$2:$J$11,2,FALSE)+IFERROR(VLOOKUP(Karakterlap!$V$7,$A$24:$F$33,6,FALSE),0)</f>
        <v>13</v>
      </c>
      <c r="BF8" s="48">
        <f>VLOOKUP("k10+10",$I$2:$J$11,2,FALSE)+IFERROR(VLOOKUP(Karakterlap!$V$7,$A$24:$G$33,7,FALSE),0)</f>
        <v>16</v>
      </c>
      <c r="BG8" s="36">
        <f>VLOOKUP("3k6(2x)",$I$2:$J$11,2,FALSE)+IFERROR(VLOOKUP(Karakterlap!$V$7,$A$24:$H$33,8,FALSE),0)</f>
        <v>11</v>
      </c>
      <c r="BH8" s="36">
        <f>VLOOKUP("3k6(2x)",$I$2:$J$11,2,FALSE)+IFERROR(VLOOKUP(Karakterlap!$V$7,$A$24:$I$33,9,FALSE),0)</f>
        <v>11</v>
      </c>
      <c r="BI8" s="36">
        <f t="shared" ref="BI8:BI40" si="0">VLOOKUP("2k6+6",$I$2:$J$11,2,FALSE)</f>
        <v>13</v>
      </c>
      <c r="BJ8" s="36">
        <f>VLOOKUP("3k6(2x)",$I$2:$J$11,2,FALSE)+IFERROR(VLOOKUP(Karakterlap!$V$7,$A$24:$J$33,10,FALSE),0)</f>
        <v>11</v>
      </c>
      <c r="BK8" s="36">
        <f t="shared" ref="BK8:BK40" si="1">VLOOKUP("2k6+6",$I$2:$J$11,2,FALSE)</f>
        <v>13</v>
      </c>
      <c r="BL8" s="36">
        <f>IF((SUM(Karakterlap!$F$3:$F$12)-SUM(BB8:BK8))&lt;0,0,SUM(Karakterlap!$F$3:$F$12)-SUM(BB8:BK8))</f>
        <v>0</v>
      </c>
      <c r="BM8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8&gt;18,BI8,18))&gt;0,Karakterlap!$F$10-IF(BI8&gt;18,BI8,18),0),0)+IF(Karakterlap!$F$11&gt;(18+IFERROR(VLOOKUP(Karakterlap!$V$7,$A$24:$J$33,10,FALSE),0)),(Karakterlap!$F$11-(18+IFERROR(VLOOKUP(Karakterlap!$V$7,$A$24:$J$33,10,FALSE),0))),0)+IF(Karakterlap!$F$12&gt;18,IF((Karakterlap!$F$12-IF(BK8&gt;18,BK8,18))&gt;0,Karakterlap!$F$12-IF(BK8&gt;18,BK8,18),0),0)</f>
        <v>#VALUE!</v>
      </c>
      <c r="BN8" t="s">
        <v>977</v>
      </c>
      <c r="BO8" t="s">
        <v>977</v>
      </c>
      <c r="BP8" t="s">
        <v>977</v>
      </c>
      <c r="BQ8" t="s">
        <v>977</v>
      </c>
      <c r="BW8" s="5"/>
      <c r="BX8" s="97" t="s">
        <v>192</v>
      </c>
      <c r="BY8" s="97" t="s">
        <v>190</v>
      </c>
      <c r="BZ8" s="97" t="s">
        <v>189</v>
      </c>
      <c r="CA8" s="97" t="s">
        <v>189</v>
      </c>
      <c r="CB8" s="97" t="s">
        <v>193</v>
      </c>
      <c r="CC8" s="97" t="s">
        <v>187</v>
      </c>
      <c r="CD8" s="97" t="s">
        <v>187</v>
      </c>
      <c r="CE8" s="97" t="s">
        <v>189</v>
      </c>
      <c r="CF8" s="97" t="s">
        <v>187</v>
      </c>
      <c r="CG8" s="97" t="s">
        <v>189</v>
      </c>
    </row>
    <row r="9" spans="1:85" x14ac:dyDescent="0.2">
      <c r="A9" s="4"/>
      <c r="B9" s="5"/>
      <c r="D9" s="3" t="s">
        <v>80</v>
      </c>
      <c r="E9" s="89" t="s">
        <v>93</v>
      </c>
      <c r="F9" s="37"/>
      <c r="G9" s="1"/>
      <c r="H9" s="38"/>
      <c r="I9" s="1" t="s">
        <v>192</v>
      </c>
      <c r="J9" s="5">
        <v>16</v>
      </c>
      <c r="L9" t="s">
        <v>686</v>
      </c>
      <c r="M9">
        <v>0</v>
      </c>
      <c r="N9">
        <v>161</v>
      </c>
      <c r="O9">
        <v>321</v>
      </c>
      <c r="P9">
        <v>641</v>
      </c>
      <c r="Q9">
        <v>1441</v>
      </c>
      <c r="R9">
        <v>2801</v>
      </c>
      <c r="S9">
        <v>5601</v>
      </c>
      <c r="T9">
        <v>10001</v>
      </c>
      <c r="U9">
        <v>20001</v>
      </c>
      <c r="V9">
        <v>40001</v>
      </c>
      <c r="W9">
        <v>60001</v>
      </c>
      <c r="X9">
        <v>80001</v>
      </c>
      <c r="Y9">
        <f>IFERROR(IF(VLOOKUP(L9,Karakterlap!$P$3:$Z$4,10,FALSE)&gt;13,112001+((VLOOKUP(L9,Karakterlap!$P$3:$Z$4,10,FALSE)-13)*31200),112001),112001)</f>
        <v>112001</v>
      </c>
      <c r="Z9">
        <v>9</v>
      </c>
      <c r="AA9">
        <v>20</v>
      </c>
      <c r="AB9">
        <v>75</v>
      </c>
      <c r="AC9">
        <v>0</v>
      </c>
      <c r="AD9">
        <f>IFERROR(VLOOKUP(L9,Karakterlap!$P$3:$Z$4,10,FALSE)*11+(ROUNDDOWN(VLOOKUP(L9,Karakterlap!$P$3:$Z$4,10,FALSE)/2,0)*3),11)</f>
        <v>11</v>
      </c>
      <c r="AE9">
        <f>IFERROR(IF(Karakterlap!$P$5="Váltott kaszt",IF(Karakterlap!$P$3=Adattábla!$L9,Karakterlap!$Y$3*3,IF(Karakterlap!$P$4=Adattábla!$L9,(Karakterlap!$Y$4-Adattábla!$I$20)*3,3)),VLOOKUP(Adattábla!$L9,Karakterlap!$P$3:$Z$4,10,FALSE)*3),3)</f>
        <v>3</v>
      </c>
      <c r="AF9">
        <f>IFERROR(IF(Karakterlap!$P$5="Váltott kaszt",IF(Karakterlap!$P$3=Adattábla!$L9,Karakterlap!$Y$3*3,IF(Karakterlap!$P$4=Adattábla!$L9,(Karakterlap!$Y$4-Adattábla!$I$20)*3,3)),VLOOKUP(Adattábla!$L9,Karakterlap!$P$3:$Z$4,10,FALSE)*3),3)</f>
        <v>3</v>
      </c>
      <c r="AG9">
        <v>7</v>
      </c>
      <c r="AH9">
        <f>IF(Karakterlap!$P$5="Iker kaszt",IF(Karakterlap!$P$3=L9,IFERROR((Karakterlap!$P$6*9)+(VLOOKUP(L9,Karakterlap!$P$3:$Z$4,10,FALSE)-Karakterlap!$P$6),9),IF(Karakterlap!$P$4=L9,VLOOKUP(L9,Karakterlap!$P$3:$Z$4,10,FALSE),9)),IF(Karakterlap!$P$5="Váltott kaszt",IF(L9=Karakterlap!$P$3,(Karakterlap!$Y$3+3)*9,VLOOKUP(L9,Karakterlap!$P$3:$Z$4,10,FALSE)*9),IFERROR(VLOOKUP(L9,Karakterlap!$P$3:$Z$4,10,FALSE)*9,9)))</f>
        <v>9</v>
      </c>
      <c r="AI9">
        <v>0</v>
      </c>
      <c r="AJ9">
        <v>7</v>
      </c>
      <c r="AK9">
        <v>6</v>
      </c>
      <c r="AL9">
        <f>IFERROR(VLOOKUP(L9,Karakterlap!$P$3:$Z$4,10,FALSE)*($E$18+4),$E$18+4)</f>
        <v>10</v>
      </c>
      <c r="AN9" t="s">
        <v>98</v>
      </c>
      <c r="AQ9" s="14">
        <v>15</v>
      </c>
      <c r="AR9" s="14">
        <v>10</v>
      </c>
      <c r="AS9" s="14">
        <v>20</v>
      </c>
      <c r="AU9" s="14">
        <f>IFERROR(IF(VLOOKUP(L9,Karakterlap!$P$3:$Z$4,10,FALSE)&gt;5,30,0),0)</f>
        <v>0</v>
      </c>
      <c r="BA9">
        <f>IFERROR(IF(Karakterlap!$P$6&gt;13,112001+((Karakterlap!$P$6-13)*31200),112001),112001)</f>
        <v>112001</v>
      </c>
      <c r="BB9" s="36">
        <f>VLOOKUP("k6+12",$I$2:$J$11,2,FALSE)+IFERROR(VLOOKUP(Karakterlap!$V$7,$A$24:$C$33,3,FALSE),0)</f>
        <v>16</v>
      </c>
      <c r="BC9" s="36">
        <f>VLOOKUP("k10+8",$I$2:$J$11,2,FALSE)+IFERROR(VLOOKUP(Karakterlap!$V$7,$A$24:$D$33,4,FALSE),0)</f>
        <v>14</v>
      </c>
      <c r="BD9" s="36">
        <f>VLOOKUP("2k6+6",$I$2:$J$11,2,FALSE)+IFERROR(VLOOKUP(Karakterlap!$V$7,$A$24:$E$33,5,FALSE),0)</f>
        <v>13</v>
      </c>
      <c r="BE9" s="36">
        <f>VLOOKUP("2k6+6",$I$2:$J$11,2,FALSE)+IFERROR(VLOOKUP(Karakterlap!$V$7,$A$24:$F$33,6,FALSE),0)</f>
        <v>13</v>
      </c>
      <c r="BF9" s="48">
        <f>VLOOKUP("k10+10",$I$2:$J$11,2,FALSE)+IFERROR(VLOOKUP(Karakterlap!$V$7,$A$24:$G$33,7,FALSE),0)</f>
        <v>16</v>
      </c>
      <c r="BG9" s="36">
        <f>VLOOKUP("3k6(2x)",$I$2:$J$11,2,FALSE)+IFERROR(VLOOKUP(Karakterlap!$V$7,$A$24:$H$33,8,FALSE),0)</f>
        <v>11</v>
      </c>
      <c r="BH9" s="36">
        <f>VLOOKUP("3k6(2x)",$I$2:$J$11,2,FALSE)+IFERROR(VLOOKUP(Karakterlap!$V$7,$A$24:$I$33,9,FALSE),0)</f>
        <v>11</v>
      </c>
      <c r="BI9" s="36">
        <f t="shared" si="0"/>
        <v>13</v>
      </c>
      <c r="BJ9" s="36">
        <f>VLOOKUP("3k6(2x)",$I$2:$J$11,2,FALSE)+IFERROR(VLOOKUP(Karakterlap!$V$7,$A$24:$J$33,10,FALSE),0)</f>
        <v>11</v>
      </c>
      <c r="BK9" s="36">
        <f t="shared" si="1"/>
        <v>13</v>
      </c>
      <c r="BL9" s="36">
        <f>IF((SUM(Karakterlap!$F$3:$F$12)-SUM(BB9:BK9))&lt;0,0,SUM(Karakterlap!$F$3:$F$12)-SUM(BB9:BK9))</f>
        <v>0</v>
      </c>
      <c r="BM9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9&gt;18,BI9,18))&gt;0,Karakterlap!$F$10-IF(BI9&gt;18,BI9,18),0),0)+IF(Karakterlap!$F$11&gt;(18+IFERROR(VLOOKUP(Karakterlap!$V$7,$A$24:$J$33,10,FALSE),0)),(Karakterlap!$F$11-(18+IFERROR(VLOOKUP(Karakterlap!$V$7,$A$24:$J$33,10,FALSE),0))),0)+IF(Karakterlap!$F$12&gt;18,IF((Karakterlap!$F$12-IF(BK9&gt;18,BK9,18))&gt;0,Karakterlap!$F$12-IF(BK9&gt;18,BK9,18),0),0)</f>
        <v>#VALUE!</v>
      </c>
      <c r="BN9" t="s">
        <v>977</v>
      </c>
      <c r="BO9" t="s">
        <v>977</v>
      </c>
      <c r="BP9" t="s">
        <v>977</v>
      </c>
      <c r="BQ9" t="s">
        <v>977</v>
      </c>
      <c r="BW9" s="5"/>
      <c r="BX9" s="97" t="s">
        <v>192</v>
      </c>
      <c r="BY9" s="97" t="s">
        <v>190</v>
      </c>
      <c r="BZ9" s="97" t="s">
        <v>189</v>
      </c>
      <c r="CA9" s="97" t="s">
        <v>189</v>
      </c>
      <c r="CB9" s="97" t="s">
        <v>193</v>
      </c>
      <c r="CC9" s="97" t="s">
        <v>187</v>
      </c>
      <c r="CD9" s="97" t="s">
        <v>187</v>
      </c>
      <c r="CE9" s="97" t="s">
        <v>189</v>
      </c>
      <c r="CF9" s="97" t="s">
        <v>187</v>
      </c>
      <c r="CG9" s="97" t="s">
        <v>189</v>
      </c>
    </row>
    <row r="10" spans="1:85" x14ac:dyDescent="0.2">
      <c r="A10" s="4"/>
      <c r="B10" s="5"/>
      <c r="D10" s="4" t="s">
        <v>91</v>
      </c>
      <c r="E10" s="1">
        <v>4</v>
      </c>
      <c r="F10" s="37"/>
      <c r="G10" s="1"/>
      <c r="H10" s="38"/>
      <c r="I10" s="1" t="s">
        <v>193</v>
      </c>
      <c r="J10" s="5">
        <v>16</v>
      </c>
      <c r="L10" t="s">
        <v>685</v>
      </c>
      <c r="M10">
        <v>0</v>
      </c>
      <c r="N10">
        <v>161</v>
      </c>
      <c r="O10">
        <v>321</v>
      </c>
      <c r="P10">
        <v>641</v>
      </c>
      <c r="Q10">
        <v>1441</v>
      </c>
      <c r="R10">
        <v>2801</v>
      </c>
      <c r="S10">
        <v>5601</v>
      </c>
      <c r="T10">
        <v>10001</v>
      </c>
      <c r="U10">
        <v>20001</v>
      </c>
      <c r="V10">
        <v>40001</v>
      </c>
      <c r="W10">
        <v>60001</v>
      </c>
      <c r="X10">
        <v>80001</v>
      </c>
      <c r="Y10">
        <f>IFERROR(IF(VLOOKUP(L10,Karakterlap!$P$3:$Z$4,10,FALSE)&gt;13,112001+((VLOOKUP(L10,Karakterlap!$P$3:$Z$4,10,FALSE)-13)*31200),112001),112001)</f>
        <v>112001</v>
      </c>
      <c r="Z10">
        <v>9</v>
      </c>
      <c r="AA10">
        <v>20</v>
      </c>
      <c r="AB10">
        <v>75</v>
      </c>
      <c r="AC10">
        <v>0</v>
      </c>
      <c r="AD10">
        <f>IFERROR(VLOOKUP(L10,Karakterlap!$P$3:$Z$4,10,FALSE)*11,11)</f>
        <v>11</v>
      </c>
      <c r="AE10">
        <f>IFERROR(IF(Karakterlap!$P$5="Váltott kaszt",IF(Karakterlap!$P$3=Adattábla!$L10,Karakterlap!$Y$3*3,IF(Karakterlap!$P$4=Adattábla!$L10,(Karakterlap!$Y$4-Adattábla!$I$20)*3,3)),VLOOKUP(Adattábla!$L10,Karakterlap!$P$3:$Z$4,10,FALSE)*3),3)</f>
        <v>3</v>
      </c>
      <c r="AF10">
        <f>IFERROR(IF(Karakterlap!$P$5="Váltott kaszt",IF(Karakterlap!$P$3=Adattábla!$L10,Karakterlap!$Y$3*3,IF(Karakterlap!$P$4=Adattábla!$L10,(Karakterlap!$Y$4-Adattábla!$I$20)*3,3)),VLOOKUP(Adattábla!$L10,Karakterlap!$P$3:$Z$4,10,FALSE)*3),3)</f>
        <v>3</v>
      </c>
      <c r="AG10">
        <v>10</v>
      </c>
      <c r="AH10">
        <f>IF(Karakterlap!$P$5="Iker kaszt",IF(Karakterlap!$P$3=L10,IFERROR((Karakterlap!$P$6*14)+(VLOOKUP(L10,Karakterlap!$P$3:$Z$4,10,FALSE)-Karakterlap!$P$6),14),IF(Karakterlap!$P$4=L10,VLOOKUP(L10,Karakterlap!$P$3:$Z$4,10,FALSE),14)),IF(Karakterlap!$P$5="Váltott kaszt",IF(L10=Karakterlap!$P$3,(Karakterlap!$Y$3+3)*14,VLOOKUP(L10,Karakterlap!$P$3:$Z$4,10,FALSE)*14),IFERROR(VLOOKUP(L10,Karakterlap!$P$3:$Z$4,10,FALSE)*14,14)))</f>
        <v>14</v>
      </c>
      <c r="AI10">
        <v>0</v>
      </c>
      <c r="AJ10">
        <v>7</v>
      </c>
      <c r="AK10">
        <v>6</v>
      </c>
      <c r="AL10">
        <f>IFERROR(VLOOKUP(L10,Karakterlap!$P$3:$Z$4,10,FALSE)*($E$18+4),$E$18+4)</f>
        <v>10</v>
      </c>
      <c r="AN10" t="s">
        <v>98</v>
      </c>
      <c r="BA10">
        <f>IFERROR(IF(Karakterlap!$P$6&gt;13,112001+((Karakterlap!$P$6-13)*31200),112001),112001)</f>
        <v>112001</v>
      </c>
      <c r="BB10" s="36">
        <f>VLOOKUP("k6+12",$I$2:$J$11,2,FALSE)+IFERROR(VLOOKUP(Karakterlap!$V$7,$A$24:$C$33,3,FALSE),0)</f>
        <v>16</v>
      </c>
      <c r="BC10" s="36">
        <f>VLOOKUP("k10+8",$I$2:$J$11,2,FALSE)+IFERROR(VLOOKUP(Karakterlap!$V$7,$A$24:$D$33,4,FALSE),0)</f>
        <v>14</v>
      </c>
      <c r="BD10" s="36">
        <f>VLOOKUP("2k6+6",$I$2:$J$11,2,FALSE)+IFERROR(VLOOKUP(Karakterlap!$V$7,$A$24:$E$33,5,FALSE),0)</f>
        <v>13</v>
      </c>
      <c r="BE10" s="36">
        <f>VLOOKUP("2k6+6",$I$2:$J$11,2,FALSE)+IFERROR(VLOOKUP(Karakterlap!$V$7,$A$24:$F$33,6,FALSE),0)</f>
        <v>13</v>
      </c>
      <c r="BF10" s="48">
        <f>VLOOKUP("k10+10",$I$2:$J$11,2,FALSE)+IFERROR(VLOOKUP(Karakterlap!$V$7,$A$24:$G$33,7,FALSE),0)</f>
        <v>16</v>
      </c>
      <c r="BG10" s="36">
        <f>VLOOKUP("3k6(2x)",$I$2:$J$11,2,FALSE)+IFERROR(VLOOKUP(Karakterlap!$V$7,$A$24:$H$33,8,FALSE),0)</f>
        <v>11</v>
      </c>
      <c r="BH10" s="36">
        <f>VLOOKUP("3k6(2x)",$I$2:$J$11,2,FALSE)+IFERROR(VLOOKUP(Karakterlap!$V$7,$A$24:$I$33,9,FALSE),0)</f>
        <v>11</v>
      </c>
      <c r="BI10" s="36">
        <f t="shared" si="0"/>
        <v>13</v>
      </c>
      <c r="BJ10" s="36">
        <f>VLOOKUP("3k6(2x)",$I$2:$J$11,2,FALSE)+IFERROR(VLOOKUP(Karakterlap!$V$7,$A$24:$J$33,10,FALSE),0)</f>
        <v>11</v>
      </c>
      <c r="BK10" s="36">
        <f t="shared" si="1"/>
        <v>13</v>
      </c>
      <c r="BL10" s="36">
        <f>IF((SUM(Karakterlap!$F$3:$F$12)-SUM(BB10:BK10))&lt;0,0,SUM(Karakterlap!$F$3:$F$12)-SUM(BB10:BK10))</f>
        <v>0</v>
      </c>
      <c r="BM10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10&gt;18,BI10,18))&gt;0,Karakterlap!$F$10-IF(BI10&gt;18,BI10,18),0),0)+IF(Karakterlap!$F$11&gt;(18+IFERROR(VLOOKUP(Karakterlap!$V$7,$A$24:$J$33,10,FALSE),0)),(Karakterlap!$F$11-(18+IFERROR(VLOOKUP(Karakterlap!$V$7,$A$24:$J$33,10,FALSE),0))),0)+IF(Karakterlap!$F$12&gt;18,IF((Karakterlap!$F$12-IF(BK10&gt;18,BK10,18))&gt;0,Karakterlap!$F$12-IF(BK10&gt;18,BK10,18),0),0)</f>
        <v>#VALUE!</v>
      </c>
      <c r="BN10" t="s">
        <v>977</v>
      </c>
      <c r="BO10" t="s">
        <v>977</v>
      </c>
      <c r="BP10" t="s">
        <v>977</v>
      </c>
      <c r="BQ10" t="s">
        <v>977</v>
      </c>
      <c r="BW10" s="5"/>
      <c r="BX10" s="97" t="s">
        <v>192</v>
      </c>
      <c r="BY10" s="97" t="s">
        <v>190</v>
      </c>
      <c r="BZ10" s="97" t="s">
        <v>189</v>
      </c>
      <c r="CA10" s="97" t="s">
        <v>189</v>
      </c>
      <c r="CB10" s="97" t="s">
        <v>193</v>
      </c>
      <c r="CC10" s="97" t="s">
        <v>187</v>
      </c>
      <c r="CD10" s="97" t="s">
        <v>187</v>
      </c>
      <c r="CE10" s="97" t="s">
        <v>189</v>
      </c>
      <c r="CF10" s="97" t="s">
        <v>187</v>
      </c>
      <c r="CG10" s="97" t="s">
        <v>189</v>
      </c>
    </row>
    <row r="11" spans="1:85" x14ac:dyDescent="0.2">
      <c r="A11" s="4"/>
      <c r="B11" s="5"/>
      <c r="D11" s="4" t="s">
        <v>92</v>
      </c>
      <c r="E11" s="1">
        <v>5</v>
      </c>
      <c r="F11" s="37"/>
      <c r="G11" s="1"/>
      <c r="H11" s="38"/>
      <c r="I11" s="1" t="s">
        <v>194</v>
      </c>
      <c r="J11" s="5">
        <v>18</v>
      </c>
      <c r="L11" t="s">
        <v>689</v>
      </c>
      <c r="M11">
        <v>0</v>
      </c>
      <c r="N11">
        <v>161</v>
      </c>
      <c r="O11">
        <v>321</v>
      </c>
      <c r="P11">
        <v>641</v>
      </c>
      <c r="Q11">
        <v>1441</v>
      </c>
      <c r="R11">
        <v>2801</v>
      </c>
      <c r="S11">
        <v>5601</v>
      </c>
      <c r="T11">
        <v>10001</v>
      </c>
      <c r="U11">
        <v>20001</v>
      </c>
      <c r="V11">
        <v>40001</v>
      </c>
      <c r="W11">
        <v>60001</v>
      </c>
      <c r="X11">
        <v>80001</v>
      </c>
      <c r="Y11">
        <f>IFERROR(IF(VLOOKUP(L11,Karakterlap!$P$3:$Z$4,10,FALSE)&gt;13,112001+((VLOOKUP(L11,Karakterlap!$P$3:$Z$4,10,FALSE)-13)*31200),112001),112001)</f>
        <v>112001</v>
      </c>
      <c r="Z11">
        <v>9</v>
      </c>
      <c r="AA11">
        <v>20</v>
      </c>
      <c r="AB11">
        <v>75</v>
      </c>
      <c r="AC11">
        <v>0</v>
      </c>
      <c r="AD11">
        <f>IFERROR(VLOOKUP(L11,Karakterlap!$P$3:$Z$4,10,FALSE)*11,11)</f>
        <v>11</v>
      </c>
      <c r="AE11">
        <f>IFERROR(IF(Karakterlap!$P$5="Váltott kaszt",IF(Karakterlap!$P$3=Adattábla!$L11,Karakterlap!$Y$3*3,IF(Karakterlap!$P$4=Adattábla!$L11,(Karakterlap!$Y$4-Adattábla!$I$20)*3,3)),VLOOKUP(Adattábla!$L11,Karakterlap!$P$3:$Z$4,10,FALSE)*3),3)</f>
        <v>3</v>
      </c>
      <c r="AF11">
        <f>IFERROR(IF(Karakterlap!$P$5="Váltott kaszt",IF(Karakterlap!$P$3=Adattábla!$L11,Karakterlap!$Y$3*3,IF(Karakterlap!$P$4=Adattábla!$L11,(Karakterlap!$Y$4-Adattábla!$I$20)*3,3)),VLOOKUP(Adattábla!$L11,Karakterlap!$P$3:$Z$4,10,FALSE)*3),3)</f>
        <v>3</v>
      </c>
      <c r="AG11">
        <v>10</v>
      </c>
      <c r="AH11">
        <f>IF(Karakterlap!$P$5="Iker kaszt",IF(Karakterlap!$P$3=L11,IFERROR((Karakterlap!$P$6*14)+(VLOOKUP(L11,Karakterlap!$P$3:$Z$4,10,FALSE)-Karakterlap!$P$6),14),IF(Karakterlap!$P$4=L11,VLOOKUP(L11,Karakterlap!$P$3:$Z$4,10,FALSE),14)),IF(Karakterlap!$P$5="Váltott kaszt",IF(L11=Karakterlap!$P$3,(Karakterlap!$Y$3+3)*14,VLOOKUP(L11,Karakterlap!$P$3:$Z$4,10,FALSE)*14),IFERROR(VLOOKUP(L11,Karakterlap!$P$3:$Z$4,10,FALSE)*14,14)))</f>
        <v>14</v>
      </c>
      <c r="AI11">
        <v>0</v>
      </c>
      <c r="AJ11">
        <v>7</v>
      </c>
      <c r="AK11">
        <v>6</v>
      </c>
      <c r="AL11">
        <f>IFERROR(VLOOKUP(L11,Karakterlap!$P$3:$Z$4,10,FALSE)*($E$18+4),$E$18+4)</f>
        <v>10</v>
      </c>
      <c r="AN11" t="s">
        <v>98</v>
      </c>
      <c r="AR11" s="14">
        <v>15</v>
      </c>
      <c r="AS11" s="14">
        <v>5</v>
      </c>
      <c r="BA11">
        <f>IFERROR(IF(Karakterlap!$P$6&gt;13,112001+((Karakterlap!$P$6-13)*31200),112001),112001)</f>
        <v>112001</v>
      </c>
      <c r="BB11" s="36">
        <f>VLOOKUP("k6+12",$I$2:$J$11,2,FALSE)+IFERROR(VLOOKUP(Karakterlap!$V$7,$A$24:$C$33,3,FALSE),0)</f>
        <v>16</v>
      </c>
      <c r="BC11" s="36">
        <f>VLOOKUP("k10+8",$I$2:$J$11,2,FALSE)+IFERROR(VLOOKUP(Karakterlap!$V$7,$A$24:$D$33,4,FALSE),0)</f>
        <v>14</v>
      </c>
      <c r="BD11" s="36">
        <f>VLOOKUP("2k6+6",$I$2:$J$11,2,FALSE)+IFERROR(VLOOKUP(Karakterlap!$V$7,$A$24:$E$33,5,FALSE),0)</f>
        <v>13</v>
      </c>
      <c r="BE11" s="36">
        <f>VLOOKUP("2k6+6",$I$2:$J$11,2,FALSE)+IFERROR(VLOOKUP(Karakterlap!$V$7,$A$24:$F$33,6,FALSE),0)</f>
        <v>13</v>
      </c>
      <c r="BF11" s="48">
        <f>VLOOKUP("k10+10",$I$2:$J$11,2,FALSE)+IFERROR(VLOOKUP(Karakterlap!$V$7,$A$24:$G$33,7,FALSE),0)</f>
        <v>16</v>
      </c>
      <c r="BG11" s="36">
        <f>VLOOKUP("3k6(2x)",$I$2:$J$11,2,FALSE)+IFERROR(VLOOKUP(Karakterlap!$V$7,$A$24:$H$33,8,FALSE),0)</f>
        <v>11</v>
      </c>
      <c r="BH11" s="36">
        <f>VLOOKUP("3k6(2x)",$I$2:$J$11,2,FALSE)+IFERROR(VLOOKUP(Karakterlap!$V$7,$A$24:$I$33,9,FALSE),0)</f>
        <v>11</v>
      </c>
      <c r="BI11" s="36">
        <f t="shared" si="0"/>
        <v>13</v>
      </c>
      <c r="BJ11" s="36">
        <f>VLOOKUP("3k6(2x)",$I$2:$J$11,2,FALSE)+IFERROR(VLOOKUP(Karakterlap!$V$7,$A$24:$J$33,10,FALSE),0)</f>
        <v>11</v>
      </c>
      <c r="BK11" s="36">
        <f t="shared" si="1"/>
        <v>13</v>
      </c>
      <c r="BL11" s="36">
        <f>IF((SUM(Karakterlap!$F$3:$F$12)-SUM(BB11:BK11))&lt;0,0,SUM(Karakterlap!$F$3:$F$12)-SUM(BB11:BK11))</f>
        <v>0</v>
      </c>
      <c r="BM11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11&gt;18,BI11,18))&gt;0,Karakterlap!$F$10-IF(BI11&gt;18,BI11,18),0),0)+IF(Karakterlap!$F$11&gt;(18+IFERROR(VLOOKUP(Karakterlap!$V$7,$A$24:$J$33,10,FALSE),0)),(Karakterlap!$F$11-(18+IFERROR(VLOOKUP(Karakterlap!$V$7,$A$24:$J$33,10,FALSE),0))),0)+IF(Karakterlap!$F$12&gt;18,IF((Karakterlap!$F$12-IF(BK11&gt;18,BK11,18))&gt;0,Karakterlap!$F$12-IF(BK11&gt;18,BK11,18),0),0)</f>
        <v>#VALUE!</v>
      </c>
      <c r="BN11" t="s">
        <v>977</v>
      </c>
      <c r="BO11" t="s">
        <v>977</v>
      </c>
      <c r="BP11" t="s">
        <v>977</v>
      </c>
      <c r="BQ11" t="s">
        <v>977</v>
      </c>
      <c r="BW11" s="5"/>
      <c r="BX11" s="97" t="s">
        <v>192</v>
      </c>
      <c r="BY11" s="97" t="s">
        <v>190</v>
      </c>
      <c r="BZ11" s="97" t="s">
        <v>189</v>
      </c>
      <c r="CA11" s="97" t="s">
        <v>189</v>
      </c>
      <c r="CB11" s="97" t="s">
        <v>193</v>
      </c>
      <c r="CC11" s="97" t="s">
        <v>187</v>
      </c>
      <c r="CD11" s="97" t="s">
        <v>187</v>
      </c>
      <c r="CE11" s="97" t="s">
        <v>189</v>
      </c>
      <c r="CF11" s="97" t="s">
        <v>187</v>
      </c>
      <c r="CG11" s="97" t="s">
        <v>189</v>
      </c>
    </row>
    <row r="12" spans="1:85" x14ac:dyDescent="0.2">
      <c r="A12" s="4"/>
      <c r="B12" s="5"/>
      <c r="D12" s="4" t="s">
        <v>141</v>
      </c>
      <c r="E12" s="5">
        <v>6</v>
      </c>
      <c r="F12" s="1"/>
      <c r="G12" s="1"/>
      <c r="H12" s="5"/>
      <c r="I12" s="4"/>
      <c r="J12" s="5"/>
      <c r="L12" t="s">
        <v>691</v>
      </c>
      <c r="M12">
        <v>0</v>
      </c>
      <c r="N12">
        <v>161</v>
      </c>
      <c r="O12">
        <v>321</v>
      </c>
      <c r="P12">
        <v>641</v>
      </c>
      <c r="Q12">
        <v>1441</v>
      </c>
      <c r="R12">
        <v>2801</v>
      </c>
      <c r="S12">
        <v>5601</v>
      </c>
      <c r="T12">
        <v>10001</v>
      </c>
      <c r="U12">
        <v>20001</v>
      </c>
      <c r="V12">
        <v>40001</v>
      </c>
      <c r="W12">
        <v>60001</v>
      </c>
      <c r="X12">
        <v>80001</v>
      </c>
      <c r="Y12">
        <f>IFERROR(IF(VLOOKUP(L12,Karakterlap!$P$3:$Z$4,10,FALSE)&gt;13,112001+((VLOOKUP(L12,Karakterlap!$P$3:$Z$4,10,FALSE)-13)*31200),112001),112001)</f>
        <v>112001</v>
      </c>
      <c r="Z12">
        <v>9</v>
      </c>
      <c r="AA12">
        <v>20</v>
      </c>
      <c r="AB12">
        <v>75</v>
      </c>
      <c r="AC12">
        <v>15</v>
      </c>
      <c r="AD12">
        <f>IFERROR(VLOOKUP(L12,Karakterlap!$P$3:$Z$4,10,FALSE)*11,11)</f>
        <v>11</v>
      </c>
      <c r="AE12">
        <f>IFERROR(IF(Karakterlap!$P$5="Váltott kaszt",IF(Karakterlap!$P$3=Adattábla!$L12,Karakterlap!$Y$3*3,IF(Karakterlap!$P$4=Adattábla!$L12,(Karakterlap!$Y$4-Adattábla!$I$20)*3,3)),VLOOKUP(Adattábla!$L12,Karakterlap!$P$3:$Z$4,10,FALSE)*3),3)</f>
        <v>3</v>
      </c>
      <c r="AF12">
        <f>IFERROR(IF(Karakterlap!$P$5="Váltott kaszt",IF(Karakterlap!$P$3=Adattábla!$L12,Karakterlap!$Y$3*3,IF(Karakterlap!$P$4=Adattábla!$L12,(Karakterlap!$Y$4-Adattábla!$I$20)*3,3)),VLOOKUP(Adattábla!$L12,Karakterlap!$P$3:$Z$4,10,FALSE)*3),3)</f>
        <v>3</v>
      </c>
      <c r="AG12">
        <v>10</v>
      </c>
      <c r="AH12">
        <f>IF(Karakterlap!$P$5="Iker kaszt",IF(Karakterlap!$P$3=L12,IFERROR((Karakterlap!$P$6*14)+(VLOOKUP(L12,Karakterlap!$P$3:$Z$4,10,FALSE)-Karakterlap!$P$6),14),IF(Karakterlap!$P$4=L12,VLOOKUP(L12,Karakterlap!$P$3:$Z$4,10,FALSE),14)),IF(Karakterlap!$P$5="Váltott kaszt",IF(L12=Karakterlap!$P$3,(Karakterlap!$Y$3+3)*14,VLOOKUP(L12,Karakterlap!$P$3:$Z$4,10,FALSE)*14),IFERROR(VLOOKUP(L12,Karakterlap!$P$3:$Z$4,10,FALSE)*14,14)))</f>
        <v>14</v>
      </c>
      <c r="AI12">
        <v>0</v>
      </c>
      <c r="AJ12">
        <v>7</v>
      </c>
      <c r="AK12">
        <v>6</v>
      </c>
      <c r="AL12">
        <f>IFERROR(VLOOKUP(L12,Karakterlap!$P$3:$Z$4,10,FALSE)*($E$18+4),$E$18+4)</f>
        <v>10</v>
      </c>
      <c r="AN12" t="s">
        <v>98</v>
      </c>
      <c r="BA12">
        <f>IFERROR(IF(Karakterlap!$P$6&gt;13,112001+((Karakterlap!$P$6-13)*31200),112001),112001)</f>
        <v>112001</v>
      </c>
      <c r="BB12" s="36">
        <f>VLOOKUP("k6+12",$I$2:$J$11,2,FALSE)+IFERROR(VLOOKUP(Karakterlap!$V$7,$A$24:$C$33,3,FALSE),0)</f>
        <v>16</v>
      </c>
      <c r="BC12" s="36">
        <f>VLOOKUP("k10+8",$I$2:$J$11,2,FALSE)+IFERROR(VLOOKUP(Karakterlap!$V$7,$A$24:$D$33,4,FALSE),0)</f>
        <v>14</v>
      </c>
      <c r="BD12" s="36">
        <f>VLOOKUP("2k6+6",$I$2:$J$11,2,FALSE)+IFERROR(VLOOKUP(Karakterlap!$V$7,$A$24:$E$33,5,FALSE),0)</f>
        <v>13</v>
      </c>
      <c r="BE12" s="36">
        <f>VLOOKUP("2k6+6",$I$2:$J$11,2,FALSE)+IFERROR(VLOOKUP(Karakterlap!$V$7,$A$24:$F$33,6,FALSE),0)</f>
        <v>13</v>
      </c>
      <c r="BF12" s="48">
        <f>VLOOKUP("k10+10",$I$2:$J$11,2,FALSE)+IFERROR(VLOOKUP(Karakterlap!$V$7,$A$24:$G$33,7,FALSE),0)</f>
        <v>16</v>
      </c>
      <c r="BG12" s="36">
        <f>VLOOKUP("3k6(2x)",$I$2:$J$11,2,FALSE)+IFERROR(VLOOKUP(Karakterlap!$V$7,$A$24:$H$33,8,FALSE),0)</f>
        <v>11</v>
      </c>
      <c r="BH12" s="36">
        <f>VLOOKUP("3k6(2x)",$I$2:$J$11,2,FALSE)+IFERROR(VLOOKUP(Karakterlap!$V$7,$A$24:$I$33,9,FALSE),0)</f>
        <v>11</v>
      </c>
      <c r="BI12" s="36">
        <f t="shared" si="0"/>
        <v>13</v>
      </c>
      <c r="BJ12" s="36">
        <f>VLOOKUP("3k6(2x)",$I$2:$J$11,2,FALSE)+IFERROR(VLOOKUP(Karakterlap!$V$7,$A$24:$J$33,10,FALSE),0)</f>
        <v>11</v>
      </c>
      <c r="BK12" s="36">
        <f t="shared" si="1"/>
        <v>13</v>
      </c>
      <c r="BL12" s="36">
        <f>IF((SUM(Karakterlap!$F$3:$F$12)-SUM(BB12:BK12))&lt;0,0,SUM(Karakterlap!$F$3:$F$12)-SUM(BB12:BK12))</f>
        <v>0</v>
      </c>
      <c r="BM12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12&gt;18,BI12,18))&gt;0,Karakterlap!$F$10-IF(BI12&gt;18,BI12,18),0),0)+IF(Karakterlap!$F$11&gt;(18+IFERROR(VLOOKUP(Karakterlap!$V$7,$A$24:$J$33,10,FALSE),0)),(Karakterlap!$F$11-(18+IFERROR(VLOOKUP(Karakterlap!$V$7,$A$24:$J$33,10,FALSE),0))),0)+IF(Karakterlap!$F$12&gt;18,IF((Karakterlap!$F$12-IF(BK12&gt;18,BK12,18))&gt;0,Karakterlap!$F$12-IF(BK12&gt;18,BK12,18),0),0)</f>
        <v>#VALUE!</v>
      </c>
      <c r="BN12" t="s">
        <v>977</v>
      </c>
      <c r="BO12" t="s">
        <v>977</v>
      </c>
      <c r="BP12" t="s">
        <v>977</v>
      </c>
      <c r="BQ12" t="s">
        <v>977</v>
      </c>
      <c r="BW12" s="5"/>
      <c r="BX12" s="97" t="s">
        <v>192</v>
      </c>
      <c r="BY12" s="97" t="s">
        <v>190</v>
      </c>
      <c r="BZ12" s="97" t="s">
        <v>189</v>
      </c>
      <c r="CA12" s="97" t="s">
        <v>189</v>
      </c>
      <c r="CB12" s="97" t="s">
        <v>193</v>
      </c>
      <c r="CC12" s="97" t="s">
        <v>187</v>
      </c>
      <c r="CD12" s="97" t="s">
        <v>187</v>
      </c>
      <c r="CE12" s="97" t="s">
        <v>189</v>
      </c>
      <c r="CF12" s="97" t="s">
        <v>187</v>
      </c>
      <c r="CG12" s="97" t="s">
        <v>189</v>
      </c>
    </row>
    <row r="13" spans="1:85" x14ac:dyDescent="0.2">
      <c r="A13" s="6"/>
      <c r="B13" s="2"/>
      <c r="D13" s="6" t="s">
        <v>142</v>
      </c>
      <c r="E13" s="2">
        <v>7</v>
      </c>
      <c r="F13" s="1"/>
      <c r="G13" s="33"/>
      <c r="H13" s="5"/>
      <c r="I13" s="4"/>
      <c r="J13" s="5"/>
      <c r="L13" t="s">
        <v>690</v>
      </c>
      <c r="M13">
        <v>0</v>
      </c>
      <c r="N13">
        <v>161</v>
      </c>
      <c r="O13">
        <v>321</v>
      </c>
      <c r="P13">
        <v>641</v>
      </c>
      <c r="Q13">
        <v>1441</v>
      </c>
      <c r="R13">
        <v>2801</v>
      </c>
      <c r="S13">
        <v>5601</v>
      </c>
      <c r="T13">
        <v>10001</v>
      </c>
      <c r="U13">
        <v>20001</v>
      </c>
      <c r="V13">
        <v>40001</v>
      </c>
      <c r="W13">
        <v>60001</v>
      </c>
      <c r="X13">
        <v>80001</v>
      </c>
      <c r="Y13">
        <f>IFERROR(IF(VLOOKUP(L13,Karakterlap!$P$3:$Z$4,10,FALSE)&gt;13,112001+((VLOOKUP(L13,Karakterlap!$P$3:$Z$4,10,FALSE)-13)*31200),112001),112001)</f>
        <v>112001</v>
      </c>
      <c r="Z13">
        <v>9</v>
      </c>
      <c r="AA13">
        <v>20</v>
      </c>
      <c r="AB13">
        <v>75</v>
      </c>
      <c r="AC13">
        <v>0</v>
      </c>
      <c r="AD13">
        <f>IFERROR(VLOOKUP(L13,Karakterlap!$P$3:$Z$4,10,FALSE)*11,11)</f>
        <v>11</v>
      </c>
      <c r="AE13">
        <f>IFERROR(IF(Karakterlap!$P$5="Váltott kaszt",IF(Karakterlap!$P$3=Adattábla!$L13,Karakterlap!$Y$3*3,IF(Karakterlap!$P$4=Adattábla!$L13,(Karakterlap!$Y$4-Adattábla!$I$20)*3,3)),VLOOKUP(Adattábla!$L13,Karakterlap!$P$3:$Z$4,10,FALSE)*3),3)</f>
        <v>3</v>
      </c>
      <c r="AF13">
        <f>IFERROR(IF(Karakterlap!$P$5="Váltott kaszt",IF(Karakterlap!$P$3=Adattábla!$L13,Karakterlap!$Y$3*3,IF(Karakterlap!$P$4=Adattábla!$L13,(Karakterlap!$Y$4-Adattábla!$I$20)*3,3)),VLOOKUP(Adattábla!$L13,Karakterlap!$P$3:$Z$4,10,FALSE)*3),3)</f>
        <v>3</v>
      </c>
      <c r="AG13">
        <v>10</v>
      </c>
      <c r="AH13">
        <f>IF(Karakterlap!$P$5="Iker kaszt",IF(Karakterlap!$P$3=L13,IFERROR((Karakterlap!$P$6*14)+(VLOOKUP(L13,Karakterlap!$P$3:$Z$4,10,FALSE)-Karakterlap!$P$6),14),IF(Karakterlap!$P$4=L13,VLOOKUP(L13,Karakterlap!$P$3:$Z$4,10,FALSE),14)),IF(Karakterlap!$P$5="Váltott kaszt",IF(L13=Karakterlap!$P$3,(Karakterlap!$Y$3+3)*14,VLOOKUP(L13,Karakterlap!$P$3:$Z$4,10,FALSE)*14),IFERROR(VLOOKUP(L13,Karakterlap!$P$3:$Z$4,10,FALSE)*14,14)))</f>
        <v>14</v>
      </c>
      <c r="AI13">
        <v>0</v>
      </c>
      <c r="AJ13">
        <v>7</v>
      </c>
      <c r="AK13">
        <v>6</v>
      </c>
      <c r="AL13">
        <f>IFERROR(VLOOKUP(L13,Karakterlap!$P$3:$Z$4,10,FALSE)*($E$18+4),$E$18+4)</f>
        <v>10</v>
      </c>
      <c r="AN13" t="s">
        <v>98</v>
      </c>
      <c r="AQ13" s="14">
        <f>IFERROR(IF(VLOOKUP(L13,Karakterlap!$P$3:$Z$4,10,FALSE)&gt;2,15,0),0)</f>
        <v>0</v>
      </c>
      <c r="AR13" s="14">
        <v>20</v>
      </c>
      <c r="AS13" s="14">
        <v>10</v>
      </c>
      <c r="BA13">
        <f>IFERROR(IF(Karakterlap!$P$6&gt;13,112001+((Karakterlap!$P$6-13)*31200),112001),112001)</f>
        <v>112001</v>
      </c>
      <c r="BB13" s="36">
        <f>VLOOKUP("k6+12",$I$2:$J$11,2,FALSE)+IFERROR(VLOOKUP(Karakterlap!$V$7,$A$24:$C$33,3,FALSE),0)</f>
        <v>16</v>
      </c>
      <c r="BC13" s="36">
        <f>VLOOKUP("k10+8",$I$2:$J$11,2,FALSE)+IFERROR(VLOOKUP(Karakterlap!$V$7,$A$24:$D$33,4,FALSE),0)</f>
        <v>14</v>
      </c>
      <c r="BD13" s="36">
        <f>VLOOKUP("2k6+6",$I$2:$J$11,2,FALSE)+IFERROR(VLOOKUP(Karakterlap!$V$7,$A$24:$E$33,5,FALSE),0)</f>
        <v>13</v>
      </c>
      <c r="BE13" s="36">
        <f>VLOOKUP("2k6+6",$I$2:$J$11,2,FALSE)+IFERROR(VLOOKUP(Karakterlap!$V$7,$A$24:$F$33,6,FALSE),0)</f>
        <v>13</v>
      </c>
      <c r="BF13" s="48">
        <f>VLOOKUP("k10+10",$I$2:$J$11,2,FALSE)+IFERROR(VLOOKUP(Karakterlap!$V$7,$A$24:$G$33,7,FALSE),0)</f>
        <v>16</v>
      </c>
      <c r="BG13" s="36">
        <f>VLOOKUP("3k6(2x)",$I$2:$J$11,2,FALSE)+IFERROR(VLOOKUP(Karakterlap!$V$7,$A$24:$H$33,8,FALSE),0)</f>
        <v>11</v>
      </c>
      <c r="BH13" s="36">
        <f>VLOOKUP("3k6(2x)",$I$2:$J$11,2,FALSE)+IFERROR(VLOOKUP(Karakterlap!$V$7,$A$24:$I$33,9,FALSE),0)</f>
        <v>11</v>
      </c>
      <c r="BI13" s="36">
        <f t="shared" si="0"/>
        <v>13</v>
      </c>
      <c r="BJ13" s="36">
        <f>VLOOKUP("3k6(2x)",$I$2:$J$11,2,FALSE)+IFERROR(VLOOKUP(Karakterlap!$V$7,$A$24:$J$33,10,FALSE),0)</f>
        <v>11</v>
      </c>
      <c r="BK13" s="36">
        <f t="shared" si="1"/>
        <v>13</v>
      </c>
      <c r="BL13" s="36">
        <f>IF((SUM(Karakterlap!$F$3:$F$12)-SUM(BB13:BK13))&lt;0,0,SUM(Karakterlap!$F$3:$F$12)-SUM(BB13:BK13))</f>
        <v>0</v>
      </c>
      <c r="BM13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13&gt;18,BI13,18))&gt;0,Karakterlap!$F$10-IF(BI13&gt;18,BI13,18),0),0)+IF(Karakterlap!$F$11&gt;(18+IFERROR(VLOOKUP(Karakterlap!$V$7,$A$24:$J$33,10,FALSE),0)),(Karakterlap!$F$11-(18+IFERROR(VLOOKUP(Karakterlap!$V$7,$A$24:$J$33,10,FALSE),0))),0)+IF(Karakterlap!$F$12&gt;18,IF((Karakterlap!$F$12-IF(BK13&gt;18,BK13,18))&gt;0,Karakterlap!$F$12-IF(BK13&gt;18,BK13,18),0),0)</f>
        <v>#VALUE!</v>
      </c>
      <c r="BN13" t="s">
        <v>977</v>
      </c>
      <c r="BO13" t="s">
        <v>977</v>
      </c>
      <c r="BP13" t="s">
        <v>977</v>
      </c>
      <c r="BQ13" t="s">
        <v>977</v>
      </c>
      <c r="BW13" s="5"/>
      <c r="BX13" s="97" t="s">
        <v>192</v>
      </c>
      <c r="BY13" s="97" t="s">
        <v>190</v>
      </c>
      <c r="BZ13" s="97" t="s">
        <v>189</v>
      </c>
      <c r="CA13" s="97" t="s">
        <v>189</v>
      </c>
      <c r="CB13" s="97" t="s">
        <v>193</v>
      </c>
      <c r="CC13" s="97" t="s">
        <v>187</v>
      </c>
      <c r="CD13" s="97" t="s">
        <v>187</v>
      </c>
      <c r="CE13" s="97" t="s">
        <v>189</v>
      </c>
      <c r="CF13" s="97" t="s">
        <v>187</v>
      </c>
      <c r="CG13" s="97" t="s">
        <v>189</v>
      </c>
    </row>
    <row r="14" spans="1:85" x14ac:dyDescent="0.2">
      <c r="F14" s="1"/>
      <c r="G14" s="1"/>
      <c r="H14" s="5"/>
      <c r="I14" s="4"/>
      <c r="J14" s="5"/>
      <c r="L14" t="s">
        <v>697</v>
      </c>
      <c r="M14">
        <v>0</v>
      </c>
      <c r="N14">
        <v>161</v>
      </c>
      <c r="O14">
        <v>321</v>
      </c>
      <c r="P14">
        <v>641</v>
      </c>
      <c r="Q14">
        <v>1441</v>
      </c>
      <c r="R14">
        <v>2801</v>
      </c>
      <c r="S14">
        <v>5601</v>
      </c>
      <c r="T14">
        <v>10001</v>
      </c>
      <c r="U14">
        <v>20001</v>
      </c>
      <c r="V14">
        <v>40001</v>
      </c>
      <c r="W14">
        <v>60001</v>
      </c>
      <c r="X14">
        <v>80001</v>
      </c>
      <c r="Y14">
        <f>IFERROR(IF(VLOOKUP(L14,Karakterlap!$P$3:$Z$4,10,FALSE)&gt;13,112001+((VLOOKUP(L14,Karakterlap!$P$3:$Z$4,10,FALSE)-13)*31200),112001),112001)</f>
        <v>112001</v>
      </c>
      <c r="Z14">
        <v>9</v>
      </c>
      <c r="AA14">
        <v>20</v>
      </c>
      <c r="AB14">
        <v>75</v>
      </c>
      <c r="AC14">
        <v>0</v>
      </c>
      <c r="AD14">
        <f>IFERROR(VLOOKUP(L14,Karakterlap!$P$3:$Z$4,10,FALSE)*11,11)</f>
        <v>11</v>
      </c>
      <c r="AE14">
        <f>IFERROR(IF(Karakterlap!$P$5="Váltott kaszt",IF(Karakterlap!$P$3=Adattábla!$L14,Karakterlap!$Y$3*3,IF(Karakterlap!$P$4=Adattábla!$L14,(Karakterlap!$Y$4-Adattábla!$I$20)*3,3)),VLOOKUP(Adattábla!$L14,Karakterlap!$P$3:$Z$4,10,FALSE)*3),3)</f>
        <v>3</v>
      </c>
      <c r="AF14">
        <f>IFERROR(IF(Karakterlap!$P$5="Váltott kaszt",IF(Karakterlap!$P$3=Adattábla!$L14,Karakterlap!$Y$3*3,IF(Karakterlap!$P$4=Adattábla!$L14,(Karakterlap!$Y$4-Adattábla!$I$20)*3,3)),VLOOKUP(Adattábla!$L14,Karakterlap!$P$3:$Z$4,10,FALSE)*3),3)</f>
        <v>3</v>
      </c>
      <c r="AG14">
        <v>5</v>
      </c>
      <c r="AH14">
        <f>IF(Karakterlap!$P$5="Iker kaszt",IF(Karakterlap!$P$3=L14,IFERROR((Karakterlap!$P$6*8)+(VLOOKUP(L14,Karakterlap!$P$3:$Z$4,10,FALSE)-Karakterlap!$P$6),8),IF(Karakterlap!$P$4=L14,VLOOKUP(L14,Karakterlap!$P$3:$Z$4,10,FALSE),8)),IF(Karakterlap!$P$5="Váltott kaszt",IF(L14=Karakterlap!$P$3,(Karakterlap!$Y$3+3)*8,VLOOKUP(L14,Karakterlap!$P$3:$Z$4,10,FALSE)*8),IFERROR(VLOOKUP(L14,Karakterlap!$P$3:$Z$4,10,FALSE)*8,8)))</f>
        <v>8</v>
      </c>
      <c r="AI14">
        <v>0</v>
      </c>
      <c r="AJ14">
        <v>7</v>
      </c>
      <c r="AK14">
        <v>6</v>
      </c>
      <c r="AL14">
        <f>IFERROR(VLOOKUP(L14,Karakterlap!$P$3:$Z$4,10,FALSE)*($E$18+4),$E$18+4)</f>
        <v>10</v>
      </c>
      <c r="AN14" t="s">
        <v>91</v>
      </c>
      <c r="AO14" t="str">
        <f>IFERROR((IF(Karakterlap!$F$9&gt;10,Karakterlap!$F$9-10,0))+4+((VLOOKUP(L14,Karakterlap!$P$3:$Z$4,10,FALSE)-1)*3),"más kaszt")</f>
        <v>más kaszt</v>
      </c>
      <c r="AS14" s="14">
        <f>IFERROR(IF(VLOOKUP(L14,Karakterlap!$P$3:$Z$4,10,FALSE)&gt;2,20,0),0)</f>
        <v>0</v>
      </c>
      <c r="BA14">
        <f>IFERROR(IF(Karakterlap!$P$6&gt;13,112001+((Karakterlap!$P$6-13)*31200),112001),112001)</f>
        <v>112001</v>
      </c>
      <c r="BB14" s="36">
        <f>VLOOKUP("k6+12",$I$2:$J$11,2,FALSE)+IFERROR(VLOOKUP(Karakterlap!$V$7,$A$24:$C$33,3,FALSE),0)</f>
        <v>16</v>
      </c>
      <c r="BC14" s="36">
        <f>VLOOKUP("k10+8",$I$2:$J$11,2,FALSE)+IFERROR(VLOOKUP(Karakterlap!$V$7,$A$24:$D$33,4,FALSE),0)</f>
        <v>14</v>
      </c>
      <c r="BD14" s="36">
        <f>VLOOKUP("2k6+6",$I$2:$J$11,2,FALSE)+IFERROR(VLOOKUP(Karakterlap!$V$7,$A$24:$E$33,5,FALSE),0)</f>
        <v>13</v>
      </c>
      <c r="BE14" s="36">
        <f>VLOOKUP("2k6+6",$I$2:$J$11,2,FALSE)+IFERROR(VLOOKUP(Karakterlap!$V$7,$A$24:$F$33,6,FALSE),0)</f>
        <v>13</v>
      </c>
      <c r="BF14" s="48">
        <f>VLOOKUP("k10+10",$I$2:$J$11,2,FALSE)+IFERROR(VLOOKUP(Karakterlap!$V$7,$A$24:$G$33,7,FALSE),0)</f>
        <v>16</v>
      </c>
      <c r="BG14" s="36">
        <f>VLOOKUP("3k6(2x)",$I$2:$J$11,2,FALSE)+IFERROR(VLOOKUP(Karakterlap!$V$7,$A$24:$H$33,8,FALSE),0)</f>
        <v>11</v>
      </c>
      <c r="BH14" s="36">
        <f>VLOOKUP("3k6(2x)",$I$2:$J$11,2,FALSE)+IFERROR(VLOOKUP(Karakterlap!$V$7,$A$24:$I$33,9,FALSE),0)</f>
        <v>11</v>
      </c>
      <c r="BI14" s="36">
        <f t="shared" si="0"/>
        <v>13</v>
      </c>
      <c r="BJ14" s="36">
        <f>VLOOKUP("3k6(2x)",$I$2:$J$11,2,FALSE)+IFERROR(VLOOKUP(Karakterlap!$V$7,$A$24:$J$33,10,FALSE),0)</f>
        <v>11</v>
      </c>
      <c r="BK14" s="36">
        <f t="shared" si="1"/>
        <v>13</v>
      </c>
      <c r="BL14" s="36">
        <f>IF((SUM(Karakterlap!$F$3:$F$12)-SUM(BB14:BK14))&lt;0,0,SUM(Karakterlap!$F$3:$F$12)-SUM(BB14:BK14))</f>
        <v>0</v>
      </c>
      <c r="BM14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14&gt;18,BI14,18))&gt;0,Karakterlap!$F$10-IF(BI14&gt;18,BI14,18),0),0)+IF(Karakterlap!$F$11&gt;(18+IFERROR(VLOOKUP(Karakterlap!$V$7,$A$24:$J$33,10,FALSE),0)),(Karakterlap!$F$11-(18+IFERROR(VLOOKUP(Karakterlap!$V$7,$A$24:$J$33,10,FALSE),0))),0)+IF(Karakterlap!$F$12&gt;18,IF((Karakterlap!$F$12-IF(BK14&gt;18,BK14,18))&gt;0,Karakterlap!$F$12-IF(BK14&gt;18,BK14,18),0),0)</f>
        <v>#VALUE!</v>
      </c>
      <c r="BN14" t="s">
        <v>977</v>
      </c>
      <c r="BO14" t="s">
        <v>977</v>
      </c>
      <c r="BP14" t="s">
        <v>977</v>
      </c>
      <c r="BQ14" t="s">
        <v>977</v>
      </c>
      <c r="BW14" s="5"/>
      <c r="BX14" s="97" t="s">
        <v>192</v>
      </c>
      <c r="BY14" s="97" t="s">
        <v>190</v>
      </c>
      <c r="BZ14" s="97" t="s">
        <v>189</v>
      </c>
      <c r="CA14" s="97" t="s">
        <v>189</v>
      </c>
      <c r="CB14" s="97" t="s">
        <v>193</v>
      </c>
      <c r="CC14" s="97" t="s">
        <v>187</v>
      </c>
      <c r="CD14" s="97" t="s">
        <v>187</v>
      </c>
      <c r="CE14" s="97" t="s">
        <v>189</v>
      </c>
      <c r="CF14" s="97" t="s">
        <v>187</v>
      </c>
      <c r="CG14" s="97" t="s">
        <v>189</v>
      </c>
    </row>
    <row r="15" spans="1:85" x14ac:dyDescent="0.2">
      <c r="A15" s="334" t="s">
        <v>32</v>
      </c>
      <c r="B15" s="335"/>
      <c r="C15" s="7">
        <v>0</v>
      </c>
      <c r="F15" s="1"/>
      <c r="G15" s="1"/>
      <c r="H15" s="5"/>
      <c r="I15" s="6"/>
      <c r="J15" s="2"/>
      <c r="L15" s="9" t="s">
        <v>698</v>
      </c>
      <c r="M15" s="9">
        <v>0</v>
      </c>
      <c r="N15" s="9">
        <v>189</v>
      </c>
      <c r="O15" s="9">
        <v>377</v>
      </c>
      <c r="P15" s="9">
        <v>826</v>
      </c>
      <c r="Q15" s="9">
        <v>1651</v>
      </c>
      <c r="R15" s="9">
        <v>3301</v>
      </c>
      <c r="S15" s="9">
        <v>7251</v>
      </c>
      <c r="T15" s="9">
        <v>12051</v>
      </c>
      <c r="U15" s="9">
        <v>24001</v>
      </c>
      <c r="V15" s="9">
        <v>48001</v>
      </c>
      <c r="W15" s="9">
        <v>68001</v>
      </c>
      <c r="X15" s="9">
        <v>93001</v>
      </c>
      <c r="Y15" s="9">
        <f>IFERROR(IF(VLOOKUP(L15,Karakterlap!$P$3:$Z$4,10,FALSE)&gt;13,130001+((VLOOKUP(L15,Karakterlap!$P$3:$Z$4,10,FALSE)-13)*40000),130001),130001)</f>
        <v>130001</v>
      </c>
      <c r="Z15" s="9">
        <v>9</v>
      </c>
      <c r="AA15" s="9">
        <v>20</v>
      </c>
      <c r="AB15" s="9">
        <v>75</v>
      </c>
      <c r="AC15" s="9">
        <v>0</v>
      </c>
      <c r="AD15" s="9">
        <f>IFERROR(VLOOKUP(L15,Karakterlap!$P$3:$Z$4,10,FALSE)*12,12)</f>
        <v>12</v>
      </c>
      <c r="AE15" s="9">
        <f>IFERROR(IF(Karakterlap!$P$5="Váltott kaszt",IF(Karakterlap!$P$3=Adattábla!$L15,Karakterlap!$Y$3*4,IF(Karakterlap!$P$4=Adattábla!$L15,(Karakterlap!$Y$4-Adattábla!$I$20)*4,4)),VLOOKUP(Adattábla!$L15,Karakterlap!$P$3:$Z$4,10,FALSE)*4),4)</f>
        <v>4</v>
      </c>
      <c r="AF15" s="9">
        <f>IFERROR(IF(Karakterlap!$P$5="Váltott kaszt",IF(Karakterlap!$P$3=Adattábla!$L15,Karakterlap!$Y$3*4,IF(Karakterlap!$P$4=Adattábla!$L15,(Karakterlap!$Y$4-Adattábla!$I$20)*4,4)),VLOOKUP(Adattábla!$L15,Karakterlap!$P$3:$Z$4,10,FALSE)*4),4)</f>
        <v>4</v>
      </c>
      <c r="AG15" s="9">
        <v>5</v>
      </c>
      <c r="AH15" s="9">
        <f>IF(Karakterlap!$P$5="Iker kaszt",IF(Karakterlap!$P$3=L15,IFERROR((Karakterlap!$P$6*6)+(VLOOKUP(L15,Karakterlap!$P$3:$Z$4,10,FALSE)-Karakterlap!$P$6),6),IF(Karakterlap!$P$4=L15,VLOOKUP(L15,Karakterlap!$P$3:$Z$4,10,FALSE),6)),IF(Karakterlap!$P$5="Váltott kaszt",IF(L15=Karakterlap!$P$3,(Karakterlap!$Y$3+3)*6,VLOOKUP(L15,Karakterlap!$P$3:$Z$4,10,FALSE)*6),IFERROR(VLOOKUP(L15,Karakterlap!$P$3:$Z$4,10,FALSE)*6,6)))</f>
        <v>6</v>
      </c>
      <c r="AI15" s="9">
        <v>0</v>
      </c>
      <c r="AJ15" s="9">
        <v>8</v>
      </c>
      <c r="AK15" s="9">
        <v>7</v>
      </c>
      <c r="AL15" s="9">
        <f>IFERROR(VLOOKUP(L15,Karakterlap!$P$3:$Z$4,10,FALSE)*($E$18+5),$E$18+5)</f>
        <v>11</v>
      </c>
      <c r="AM15" s="9"/>
      <c r="AN15" s="9" t="s">
        <v>98</v>
      </c>
      <c r="AR15" s="14">
        <v>30</v>
      </c>
      <c r="AS15" s="14">
        <v>30</v>
      </c>
      <c r="BA15">
        <f>IFERROR(IF(Karakterlap!$P$6&gt;13,130001+((Karakterlap!$P$6-13)*40000),130001),130001)</f>
        <v>130001</v>
      </c>
      <c r="BB15" s="36">
        <f>VLOOKUP("k6+12",$I$2:$J$11,2,FALSE)+IFERROR(VLOOKUP(Karakterlap!$V$7,$A$24:$C$33,3,FALSE),0)</f>
        <v>16</v>
      </c>
      <c r="BC15" s="36">
        <f>VLOOKUP("k6+12",$I$2:$J$11,2,FALSE)+IFERROR(VLOOKUP(Karakterlap!$V$7,$A$24:$D$33,4,FALSE),0)</f>
        <v>16</v>
      </c>
      <c r="BD15" s="36">
        <f>VLOOKUP("2k6+6",$I$2:$J$11,2,FALSE)+IFERROR(VLOOKUP(Karakterlap!$V$7,$A$24:$E$33,5,FALSE),0)</f>
        <v>13</v>
      </c>
      <c r="BE15" s="36">
        <f>VLOOKUP("2k6+6",$I$2:$J$11,2,FALSE)+IFERROR(VLOOKUP(Karakterlap!$V$7,$A$24:$F$33,6,FALSE),0)</f>
        <v>13</v>
      </c>
      <c r="BF15" s="48">
        <f>VLOOKUP("k10+10",$I$2:$J$11,2,FALSE)+IFERROR(VLOOKUP(Karakterlap!$V$7,$A$24:$G$33,7,FALSE),0)</f>
        <v>16</v>
      </c>
      <c r="BG15" s="36">
        <f>VLOOKUP("2k6+6",$I$2:$J$11,2,FALSE)+IFERROR(VLOOKUP(Karakterlap!$V$7,$A$24:$H$33,8,FALSE),0)</f>
        <v>13</v>
      </c>
      <c r="BH15" s="36">
        <f>VLOOKUP("3k6",$I$2:$J$11,2,FALSE)+IFERROR(VLOOKUP(Karakterlap!$V$7,$A$24:$I$33,9,FALSE),0)</f>
        <v>10</v>
      </c>
      <c r="BI15" s="36">
        <f>VLOOKUP("3k6",$I$2:$J$11,2,FALSE)</f>
        <v>10</v>
      </c>
      <c r="BJ15" s="36">
        <f>VLOOKUP("3k6",$I$2:$J$11,2,FALSE)+IFERROR(VLOOKUP(Karakterlap!$V$7,$A$24:$J$33,10,FALSE),0)</f>
        <v>10</v>
      </c>
      <c r="BK15" s="36">
        <f>VLOOKUP("2k6+6",$I$2:$J$11,2,FALSE)</f>
        <v>13</v>
      </c>
      <c r="BL15" s="36">
        <f>IF((SUM(Karakterlap!$F$3:$F$12)-SUM(BB15:BK15))&lt;0,0,SUM(Karakterlap!$F$3:$F$12)-SUM(BB15:BK15))</f>
        <v>0</v>
      </c>
      <c r="BM15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15&gt;18,BI15,18))&gt;0,Karakterlap!$F$10-IF(BI15&gt;18,BI15,18),0),0)+IF(Karakterlap!$F$11&gt;(18+IFERROR(VLOOKUP(Karakterlap!$V$7,$A$24:$J$33,10,FALSE),0)),(Karakterlap!$F$11-(18+IFERROR(VLOOKUP(Karakterlap!$V$7,$A$24:$J$33,10,FALSE),0))),0)+IF(Karakterlap!$F$12&gt;18,IF((Karakterlap!$F$12-IF(BK15&gt;18,BK15,18))&gt;0,Karakterlap!$F$12-IF(BK15&gt;18,BK15,18),0),0)</f>
        <v>#VALUE!</v>
      </c>
      <c r="BN15" t="s">
        <v>977</v>
      </c>
      <c r="BO15" t="s">
        <v>977</v>
      </c>
      <c r="BP15" t="s">
        <v>977</v>
      </c>
      <c r="BQ15" t="s">
        <v>977</v>
      </c>
      <c r="BW15" s="5"/>
      <c r="BX15" s="97" t="s">
        <v>192</v>
      </c>
      <c r="BY15" s="97" t="s">
        <v>192</v>
      </c>
      <c r="BZ15" s="97" t="s">
        <v>189</v>
      </c>
      <c r="CA15" s="97" t="s">
        <v>189</v>
      </c>
      <c r="CB15" s="97" t="s">
        <v>193</v>
      </c>
      <c r="CC15" s="97" t="s">
        <v>189</v>
      </c>
      <c r="CD15" s="97" t="s">
        <v>186</v>
      </c>
      <c r="CE15" s="97" t="s">
        <v>186</v>
      </c>
      <c r="CF15" s="97" t="s">
        <v>186</v>
      </c>
      <c r="CG15" s="97" t="s">
        <v>189</v>
      </c>
    </row>
    <row r="16" spans="1:85" x14ac:dyDescent="0.2">
      <c r="A16" s="334" t="s">
        <v>33</v>
      </c>
      <c r="B16" s="335"/>
      <c r="C16" s="7">
        <v>0</v>
      </c>
      <c r="I16" s="128"/>
      <c r="J16" s="128"/>
      <c r="L16" t="s">
        <v>701</v>
      </c>
      <c r="M16">
        <v>0</v>
      </c>
      <c r="N16">
        <v>161</v>
      </c>
      <c r="O16">
        <v>321</v>
      </c>
      <c r="P16">
        <v>641</v>
      </c>
      <c r="Q16">
        <v>1441</v>
      </c>
      <c r="R16">
        <v>2801</v>
      </c>
      <c r="S16">
        <v>5601</v>
      </c>
      <c r="T16">
        <v>10001</v>
      </c>
      <c r="U16">
        <v>20001</v>
      </c>
      <c r="V16">
        <v>40001</v>
      </c>
      <c r="W16">
        <v>60001</v>
      </c>
      <c r="X16">
        <v>80001</v>
      </c>
      <c r="Y16">
        <f>IFERROR(IF(VLOOKUP(L16,Karakterlap!$P$3:$Z$4,10,FALSE)&gt;13,112001+((VLOOKUP(L16,Karakterlap!$P$3:$Z$4,10,FALSE)-13)*31200),112001),112001)</f>
        <v>112001</v>
      </c>
      <c r="Z16">
        <v>9</v>
      </c>
      <c r="AA16">
        <v>20</v>
      </c>
      <c r="AB16">
        <v>75</v>
      </c>
      <c r="AC16">
        <v>25</v>
      </c>
      <c r="AD16">
        <f>IFERROR(VLOOKUP(L16,Karakterlap!$P$3:$Z$4,10,FALSE)*11,11)</f>
        <v>11</v>
      </c>
      <c r="AE16">
        <f>IFERROR(IF(Karakterlap!$P$5="Váltott kaszt",IF(Karakterlap!$P$3=Adattábla!$L16,Karakterlap!$Y$3*3,IF(Karakterlap!$P$4=Adattábla!$L16,(Karakterlap!$Y$4-Adattábla!$I$20)*3,3)),VLOOKUP(Adattábla!$L16,Karakterlap!$P$3:$Z$4,10,FALSE)*3),3)</f>
        <v>3</v>
      </c>
      <c r="AF16">
        <f>IFERROR(IF(Karakterlap!$P$5="Váltott kaszt",IF(Karakterlap!$P$3=Adattábla!$L16,Karakterlap!$Y$3*3,IF(Karakterlap!$P$4=Adattábla!$L16,(Karakterlap!$Y$4-Adattábla!$I$20)*3,3)),VLOOKUP(Adattábla!$L16,Karakterlap!$P$3:$Z$4,10,FALSE)*3),3)</f>
        <v>3</v>
      </c>
      <c r="AG16">
        <v>5</v>
      </c>
      <c r="AH16">
        <f>IF(Karakterlap!$P$5="Iker kaszt",IF(Karakterlap!$P$3=L16,IFERROR((Karakterlap!$P$6*7)+(VLOOKUP(L16,Karakterlap!$P$3:$Z$4,10,FALSE)-Karakterlap!$P$6),7),IF(Karakterlap!$P$4=L16,VLOOKUP(L16,Karakterlap!$P$3:$Z$4,10,FALSE),7)),IF(Karakterlap!$P$5="Váltott kaszt",IF(L16=Karakterlap!$P$3,(Karakterlap!$Y$3+3)*7,VLOOKUP(L16,Karakterlap!$P$3:$Z$4,10,FALSE)*7),IFERROR(VLOOKUP(L16,Karakterlap!$P$3:$Z$4,10,FALSE)*7,7)))</f>
        <v>7</v>
      </c>
      <c r="AI16">
        <v>0</v>
      </c>
      <c r="AJ16">
        <v>7</v>
      </c>
      <c r="AK16">
        <v>6</v>
      </c>
      <c r="AL16">
        <f>IFERROR(VLOOKUP(L16,Karakterlap!$P$3:$Z$4,10,FALSE)*($E$18+4),$E$18+4)</f>
        <v>10</v>
      </c>
      <c r="AN16" t="s">
        <v>98</v>
      </c>
      <c r="AQ16" s="14">
        <v>15</v>
      </c>
      <c r="AR16" s="14">
        <v>20</v>
      </c>
      <c r="AS16" s="14">
        <v>10</v>
      </c>
      <c r="BA16">
        <f>IFERROR(IF(Karakterlap!$P$6&gt;13,112001+((Karakterlap!$P$6-13)*31200),112001),112001)</f>
        <v>112001</v>
      </c>
      <c r="BB16" s="36">
        <f>VLOOKUP("k6+12",$I$2:$J$11,2,FALSE)+IFERROR(VLOOKUP(Karakterlap!$V$7,$A$24:$C$33,3,FALSE),0)</f>
        <v>16</v>
      </c>
      <c r="BC16" s="36">
        <f>VLOOKUP("k10+8",$I$2:$J$11,2,FALSE)+IFERROR(VLOOKUP(Karakterlap!$V$7,$A$24:$D$33,4,FALSE),0)</f>
        <v>14</v>
      </c>
      <c r="BD16" s="36">
        <f>VLOOKUP("2k6+6",$I$2:$J$11,2,FALSE)+IFERROR(VLOOKUP(Karakterlap!$V$7,$A$24:$E$33,5,FALSE),0)</f>
        <v>13</v>
      </c>
      <c r="BE16" s="36">
        <f>VLOOKUP("2k6+6",$I$2:$J$11,2,FALSE)+IFERROR(VLOOKUP(Karakterlap!$V$7,$A$24:$F$33,6,FALSE),0)</f>
        <v>13</v>
      </c>
      <c r="BF16" s="48">
        <f>VLOOKUP("k10+10",$I$2:$J$11,2,FALSE)+IFERROR(VLOOKUP(Karakterlap!$V$7,$A$24:$G$33,7,FALSE),0)</f>
        <v>16</v>
      </c>
      <c r="BG16" s="36">
        <f>VLOOKUP("3k6(2x)",$I$2:$J$11,2,FALSE)+IFERROR(VLOOKUP(Karakterlap!$V$7,$A$24:$H$33,8,FALSE),0)</f>
        <v>11</v>
      </c>
      <c r="BH16" s="36">
        <f>VLOOKUP("3k6(2x)",$I$2:$J$11,2,FALSE)+IFERROR(VLOOKUP(Karakterlap!$V$7,$A$24:$I$33,9,FALSE),0)</f>
        <v>11</v>
      </c>
      <c r="BI16" s="36">
        <f t="shared" si="0"/>
        <v>13</v>
      </c>
      <c r="BJ16" s="36">
        <f>VLOOKUP("3k6(2x)",$I$2:$J$11,2,FALSE)+IFERROR(VLOOKUP(Karakterlap!$V$7,$A$24:$J$33,10,FALSE),0)</f>
        <v>11</v>
      </c>
      <c r="BK16" s="36">
        <f t="shared" si="1"/>
        <v>13</v>
      </c>
      <c r="BL16" s="36">
        <f>IF((SUM(Karakterlap!$F$3:$F$12)-SUM(BB16:BK16))&lt;0,0,SUM(Karakterlap!$F$3:$F$12)-SUM(BB16:BK16))</f>
        <v>0</v>
      </c>
      <c r="BM16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16&gt;18,BI16,18))&gt;0,Karakterlap!$F$10-IF(BI16&gt;18,BI16,18),0),0)+IF(Karakterlap!$F$11&gt;(18+IFERROR(VLOOKUP(Karakterlap!$V$7,$A$24:$J$33,10,FALSE),0)),(Karakterlap!$F$11-(18+IFERROR(VLOOKUP(Karakterlap!$V$7,$A$24:$J$33,10,FALSE),0))),0)+IF(Karakterlap!$F$12&gt;18,IF((Karakterlap!$F$12-IF(BK16&gt;18,BK16,18))&gt;0,Karakterlap!$F$12-IF(BK16&gt;18,BK16,18),0),0)</f>
        <v>#VALUE!</v>
      </c>
      <c r="BN16" t="s">
        <v>977</v>
      </c>
      <c r="BO16" t="s">
        <v>977</v>
      </c>
      <c r="BP16" t="s">
        <v>977</v>
      </c>
      <c r="BQ16" t="s">
        <v>977</v>
      </c>
      <c r="BW16" s="5"/>
      <c r="BX16" s="97" t="s">
        <v>192</v>
      </c>
      <c r="BY16" s="97" t="s">
        <v>190</v>
      </c>
      <c r="BZ16" s="97" t="s">
        <v>189</v>
      </c>
      <c r="CA16" s="97" t="s">
        <v>189</v>
      </c>
      <c r="CB16" s="97" t="s">
        <v>193</v>
      </c>
      <c r="CC16" s="97" t="s">
        <v>187</v>
      </c>
      <c r="CD16" s="97" t="s">
        <v>187</v>
      </c>
      <c r="CE16" s="97" t="s">
        <v>189</v>
      </c>
      <c r="CF16" s="97" t="s">
        <v>187</v>
      </c>
      <c r="CG16" s="97" t="s">
        <v>189</v>
      </c>
    </row>
    <row r="17" spans="1:85" x14ac:dyDescent="0.2">
      <c r="A17" s="334" t="s">
        <v>68</v>
      </c>
      <c r="B17" s="335"/>
      <c r="C17" s="7">
        <v>3000</v>
      </c>
      <c r="E17" s="336" t="s">
        <v>81</v>
      </c>
      <c r="F17" s="337"/>
      <c r="G17" s="25"/>
      <c r="H17" s="40" t="s">
        <v>179</v>
      </c>
      <c r="I17" s="41"/>
      <c r="J17" s="42">
        <v>40</v>
      </c>
      <c r="L17" t="s">
        <v>707</v>
      </c>
      <c r="M17">
        <v>0</v>
      </c>
      <c r="N17">
        <v>161</v>
      </c>
      <c r="O17">
        <v>321</v>
      </c>
      <c r="P17">
        <v>641</v>
      </c>
      <c r="Q17">
        <v>1441</v>
      </c>
      <c r="R17">
        <v>2801</v>
      </c>
      <c r="S17">
        <v>5601</v>
      </c>
      <c r="T17">
        <v>10001</v>
      </c>
      <c r="U17">
        <v>20001</v>
      </c>
      <c r="V17">
        <v>40001</v>
      </c>
      <c r="W17">
        <v>60001</v>
      </c>
      <c r="X17">
        <v>80001</v>
      </c>
      <c r="Y17">
        <f>IFERROR(IF(VLOOKUP(L17,Karakterlap!$P$3:$Z$4,10,FALSE)&gt;13,112001+((VLOOKUP(L17,Karakterlap!$P$3:$Z$4,10,FALSE)-13)*31200),112001),112001)</f>
        <v>112001</v>
      </c>
      <c r="Z17">
        <v>9</v>
      </c>
      <c r="AA17">
        <v>20</v>
      </c>
      <c r="AB17">
        <v>75</v>
      </c>
      <c r="AC17">
        <v>25</v>
      </c>
      <c r="AD17">
        <f>IFERROR(VLOOKUP(L17,Karakterlap!$P$3:$Z$4,10,FALSE)*11,11)</f>
        <v>11</v>
      </c>
      <c r="AE17">
        <f>IFERROR(IF(Karakterlap!$P$5="Váltott kaszt",IF(Karakterlap!$P$3=Adattábla!$L17,Karakterlap!$Y$3*3,IF(Karakterlap!$P$4=Adattábla!$L17,(Karakterlap!$Y$4-Adattábla!$I$20)*3,3)),VLOOKUP(Adattábla!$L17,Karakterlap!$P$3:$Z$4,10,FALSE)*3),3)</f>
        <v>3</v>
      </c>
      <c r="AF17">
        <f>IFERROR(IF(Karakterlap!$P$5="Váltott kaszt",IF(Karakterlap!$P$3=Adattábla!$L17,Karakterlap!$Y$3*3,IF(Karakterlap!$P$4=Adattábla!$L17,(Karakterlap!$Y$4-Adattábla!$I$20)*3,3)),VLOOKUP(Adattábla!$L17,Karakterlap!$P$3:$Z$4,10,FALSE)*3),3)</f>
        <v>3</v>
      </c>
      <c r="AG17">
        <v>5</v>
      </c>
      <c r="AH17">
        <f>IF(Karakterlap!$P$5="Iker kaszt",IF(Karakterlap!$P$3=L17,IFERROR((Karakterlap!$P$6*6)+(VLOOKUP(L17,Karakterlap!$P$3:$Z$4,10,FALSE)-Karakterlap!$P$6),6),IF(Karakterlap!$P$4=L17,VLOOKUP(L17,Karakterlap!$P$3:$Z$4,10,FALSE),6)),IF(Karakterlap!$P$5="Váltott kaszt",IF(L17=Karakterlap!$P$3,(Karakterlap!$Y$3+3)*6,VLOOKUP(L17,Karakterlap!$P$3:$Z$4,10,FALSE)*6),IFERROR(VLOOKUP(L17,Karakterlap!$P$3:$Z$4,10,FALSE)*6,6)))</f>
        <v>6</v>
      </c>
      <c r="AI17">
        <f>IFERROR(IF(Karakterlap!$P$5="Váltott kaszt",IF(L17=Karakterlap!$P$3,Karakterlap!$P$6*20,VLOOKUP(L17,Karakterlap!$P$3:$Z$4,10,FALSE)*20),VLOOKUP(L17,Karakterlap!$P$3:$Z$4,10,FALSE)*20),20)</f>
        <v>20</v>
      </c>
      <c r="AJ17">
        <v>7</v>
      </c>
      <c r="AK17">
        <v>6</v>
      </c>
      <c r="AL17">
        <f>IFERROR(VLOOKUP(L17,Karakterlap!$P$3:$Z$4,10,FALSE)*($E$18+4),$E$18+4)</f>
        <v>10</v>
      </c>
      <c r="AN17" t="s">
        <v>98</v>
      </c>
      <c r="AQ17" s="14">
        <v>35</v>
      </c>
      <c r="AR17" s="14">
        <v>25</v>
      </c>
      <c r="AS17" s="14">
        <v>20</v>
      </c>
      <c r="AT17" s="14">
        <v>50</v>
      </c>
      <c r="AU17" s="14">
        <v>50</v>
      </c>
      <c r="BA17">
        <f>IFERROR(IF(Karakterlap!$P$6&gt;13,112001+((Karakterlap!$P$6-13)*31200),112001),112001)</f>
        <v>112001</v>
      </c>
      <c r="BB17" s="36">
        <f>VLOOKUP("k6+12",$I$2:$J$11,2,FALSE)+IFERROR(VLOOKUP(Karakterlap!$V$7,$A$24:$C$33,3,FALSE),0)</f>
        <v>16</v>
      </c>
      <c r="BC17" s="36">
        <f>VLOOKUP("k10+8",$I$2:$J$11,2,FALSE)+IFERROR(VLOOKUP(Karakterlap!$V$7,$A$24:$D$33,4,FALSE),0)</f>
        <v>14</v>
      </c>
      <c r="BD17" s="36">
        <f>VLOOKUP("2k6+6",$I$2:$J$11,2,FALSE)+IFERROR(VLOOKUP(Karakterlap!$V$7,$A$24:$E$33,5,FALSE),0)</f>
        <v>13</v>
      </c>
      <c r="BE17" s="36">
        <f>VLOOKUP("2k6+6",$I$2:$J$11,2,FALSE)+IFERROR(VLOOKUP(Karakterlap!$V$7,$A$24:$F$33,6,FALSE),0)</f>
        <v>13</v>
      </c>
      <c r="BF17" s="48">
        <f>VLOOKUP("k10+10",$I$2:$J$11,2,FALSE)+IFERROR(VLOOKUP(Karakterlap!$V$7,$A$24:$G$33,7,FALSE),0)</f>
        <v>16</v>
      </c>
      <c r="BG17" s="36">
        <f>VLOOKUP("3k6(2x)",$I$2:$J$11,2,FALSE)+IFERROR(VLOOKUP(Karakterlap!$V$7,$A$24:$H$33,8,FALSE),0)</f>
        <v>11</v>
      </c>
      <c r="BH17" s="36">
        <f>VLOOKUP("3k6(2x)",$I$2:$J$11,2,FALSE)+IFERROR(VLOOKUP(Karakterlap!$V$7,$A$24:$I$33,9,FALSE),0)</f>
        <v>11</v>
      </c>
      <c r="BI17" s="36">
        <f t="shared" si="0"/>
        <v>13</v>
      </c>
      <c r="BJ17" s="36">
        <f>VLOOKUP("3k6(2x)",$I$2:$J$11,2,FALSE)+IFERROR(VLOOKUP(Karakterlap!$V$7,$A$24:$J$33,10,FALSE),0)</f>
        <v>11</v>
      </c>
      <c r="BK17" s="36">
        <f t="shared" si="1"/>
        <v>13</v>
      </c>
      <c r="BL17" s="36">
        <f>IF((SUM(Karakterlap!$F$3:$F$12)-SUM(BB17:BK17))&lt;0,0,SUM(Karakterlap!$F$3:$F$12)-SUM(BB17:BK17))</f>
        <v>0</v>
      </c>
      <c r="BM17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17&gt;18,BI17,18))&gt;0,Karakterlap!$F$10-IF(BI17&gt;18,BI17,18),0),0)+IF(Karakterlap!$F$11&gt;(18+IFERROR(VLOOKUP(Karakterlap!$V$7,$A$24:$J$33,10,FALSE),0)),(Karakterlap!$F$11-(18+IFERROR(VLOOKUP(Karakterlap!$V$7,$A$24:$J$33,10,FALSE),0))),0)+IF(Karakterlap!$F$12&gt;18,IF((Karakterlap!$F$12-IF(BK17&gt;18,BK17,18))&gt;0,Karakterlap!$F$12-IF(BK17&gt;18,BK17,18),0),0)</f>
        <v>#VALUE!</v>
      </c>
      <c r="BN17" t="s">
        <v>977</v>
      </c>
      <c r="BO17" t="s">
        <v>977</v>
      </c>
      <c r="BP17" t="s">
        <v>977</v>
      </c>
      <c r="BQ17" t="s">
        <v>977</v>
      </c>
      <c r="BW17" s="5"/>
      <c r="BX17" s="97" t="s">
        <v>192</v>
      </c>
      <c r="BY17" s="97" t="s">
        <v>190</v>
      </c>
      <c r="BZ17" s="97" t="s">
        <v>189</v>
      </c>
      <c r="CA17" s="97" t="s">
        <v>189</v>
      </c>
      <c r="CB17" s="97" t="s">
        <v>193</v>
      </c>
      <c r="CC17" s="97" t="s">
        <v>187</v>
      </c>
      <c r="CD17" s="97" t="s">
        <v>187</v>
      </c>
      <c r="CE17" s="97" t="s">
        <v>189</v>
      </c>
      <c r="CF17" s="97" t="s">
        <v>187</v>
      </c>
      <c r="CG17" s="97" t="s">
        <v>189</v>
      </c>
    </row>
    <row r="18" spans="1:85" x14ac:dyDescent="0.2">
      <c r="A18" s="331" t="s">
        <v>145</v>
      </c>
      <c r="B18" s="332"/>
      <c r="C18" s="28">
        <v>2</v>
      </c>
      <c r="E18" s="6">
        <v>6</v>
      </c>
      <c r="F18" s="2"/>
      <c r="G18" s="26"/>
      <c r="H18" s="43" t="s">
        <v>180</v>
      </c>
      <c r="I18" s="44"/>
      <c r="J18" s="45">
        <v>120</v>
      </c>
      <c r="L18" t="s">
        <v>706</v>
      </c>
      <c r="M18">
        <v>0</v>
      </c>
      <c r="N18">
        <v>161</v>
      </c>
      <c r="O18">
        <v>321</v>
      </c>
      <c r="P18">
        <v>641</v>
      </c>
      <c r="Q18">
        <v>1441</v>
      </c>
      <c r="R18">
        <v>2801</v>
      </c>
      <c r="S18">
        <v>5601</v>
      </c>
      <c r="T18">
        <v>10001</v>
      </c>
      <c r="U18">
        <v>20001</v>
      </c>
      <c r="V18">
        <v>40001</v>
      </c>
      <c r="W18">
        <v>60001</v>
      </c>
      <c r="X18">
        <v>80001</v>
      </c>
      <c r="Y18">
        <f>IFERROR(IF(VLOOKUP(L18,Karakterlap!$P$3:$Z$4,10,FALSE)&gt;13,112001+((VLOOKUP(L18,Karakterlap!$P$3:$Z$4,10,FALSE)-13)*31200),112001),112001)</f>
        <v>112001</v>
      </c>
      <c r="Z18">
        <v>9</v>
      </c>
      <c r="AA18">
        <v>20</v>
      </c>
      <c r="AB18">
        <v>75</v>
      </c>
      <c r="AC18">
        <v>0</v>
      </c>
      <c r="AD18">
        <f>IFERROR(VLOOKUP(L18,Karakterlap!$P$3:$Z$4,10,FALSE)*11,11)</f>
        <v>11</v>
      </c>
      <c r="AE18">
        <f>IFERROR(IF(Karakterlap!$P$5="Váltott kaszt",IF(Karakterlap!$P$3=Adattábla!$L18,Karakterlap!$Y$3*3,IF(Karakterlap!$P$4=Adattábla!$L18,(Karakterlap!$Y$4-Adattábla!$I$20)*3,3)),VLOOKUP(Adattábla!$L18,Karakterlap!$P$3:$Z$4,10,FALSE)*3),3)</f>
        <v>3</v>
      </c>
      <c r="AF18">
        <f>IFERROR(IF(Karakterlap!$P$5="Váltott kaszt",IF(Karakterlap!$P$3=Adattábla!$L18,Karakterlap!$Y$3*3,IF(Karakterlap!$P$4=Adattábla!$L18,(Karakterlap!$Y$4-Adattábla!$I$20)*3,3)),VLOOKUP(Adattábla!$L18,Karakterlap!$P$3:$Z$4,10,FALSE)*3),3)</f>
        <v>3</v>
      </c>
      <c r="AG18">
        <v>3</v>
      </c>
      <c r="AH18">
        <f>IF(Karakterlap!$P$5="Iker kaszt",IF(Karakterlap!$P$3=L18,IFERROR((Karakterlap!$P$6*14)+(VLOOKUP(L18,Karakterlap!$P$3:$Z$4,10,FALSE)-Karakterlap!$P$6),14),IF(Karakterlap!$P$4=L18,VLOOKUP(L18,Karakterlap!$P$3:$Z$4,10,FALSE),14)),IF(Karakterlap!$P$5="Váltott kaszt",IF(L18=Karakterlap!$P$3,(Karakterlap!$Y$3+3)*14,VLOOKUP(L18,Karakterlap!$P$3:$Z$4,10,FALSE)*14),IFERROR(VLOOKUP(L18,Karakterlap!$P$3:$Z$4,10,FALSE)*14,14)))</f>
        <v>14</v>
      </c>
      <c r="AI18">
        <v>0</v>
      </c>
      <c r="AJ18">
        <v>7</v>
      </c>
      <c r="AK18">
        <v>6</v>
      </c>
      <c r="AL18">
        <f>IFERROR(VLOOKUP(L18,Karakterlap!$P$3:$Z$4,10,FALSE)*($E$18+4),$E$18+4)</f>
        <v>10</v>
      </c>
      <c r="AN18" t="s">
        <v>98</v>
      </c>
      <c r="BA18">
        <f>IFERROR(IF(Karakterlap!$P$6&gt;13,112001+((Karakterlap!$P$6-13)*31200),112001),112001)</f>
        <v>112001</v>
      </c>
      <c r="BB18" s="36">
        <f>VLOOKUP("k6+12",$I$2:$J$11,2,FALSE)+IFERROR(VLOOKUP(Karakterlap!$V$7,$A$24:$C$33,3,FALSE),0)</f>
        <v>16</v>
      </c>
      <c r="BC18" s="36">
        <f>VLOOKUP("k10+8",$I$2:$J$11,2,FALSE)+IFERROR(VLOOKUP(Karakterlap!$V$7,$A$24:$D$33,4,FALSE),0)</f>
        <v>14</v>
      </c>
      <c r="BD18" s="36">
        <f>VLOOKUP("2k6+6",$I$2:$J$11,2,FALSE)+IFERROR(VLOOKUP(Karakterlap!$V$7,$A$24:$E$33,5,FALSE),0)</f>
        <v>13</v>
      </c>
      <c r="BE18" s="36">
        <f>VLOOKUP("2k6+6",$I$2:$J$11,2,FALSE)+IFERROR(VLOOKUP(Karakterlap!$V$7,$A$24:$F$33,6,FALSE),0)</f>
        <v>13</v>
      </c>
      <c r="BF18" s="48">
        <f>VLOOKUP("k10+10",$I$2:$J$11,2,FALSE)+IFERROR(VLOOKUP(Karakterlap!$V$7,$A$24:$G$33,7,FALSE),0)</f>
        <v>16</v>
      </c>
      <c r="BG18" s="36">
        <f>VLOOKUP("3k6(2x)",$I$2:$J$11,2,FALSE)+IFERROR(VLOOKUP(Karakterlap!$V$7,$A$24:$H$33,8,FALSE),0)</f>
        <v>11</v>
      </c>
      <c r="BH18" s="36">
        <f>VLOOKUP("3k6(2x)",$I$2:$J$11,2,FALSE)+IFERROR(VLOOKUP(Karakterlap!$V$7,$A$24:$I$33,9,FALSE),0)</f>
        <v>11</v>
      </c>
      <c r="BI18" s="36">
        <f t="shared" si="0"/>
        <v>13</v>
      </c>
      <c r="BJ18" s="36">
        <f>VLOOKUP("3k6(2x)",$I$2:$J$11,2,FALSE)+IFERROR(VLOOKUP(Karakterlap!$V$7,$A$24:$J$33,10,FALSE),0)</f>
        <v>11</v>
      </c>
      <c r="BK18" s="36">
        <f t="shared" si="1"/>
        <v>13</v>
      </c>
      <c r="BL18" s="36">
        <f>IF((SUM(Karakterlap!$F$3:$F$12)-SUM(BB18:BK18))&lt;0,0,SUM(Karakterlap!$F$3:$F$12)-SUM(BB18:BK18))</f>
        <v>0</v>
      </c>
      <c r="BM18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18&gt;18,BI18,18))&gt;0,Karakterlap!$F$10-IF(BI18&gt;18,BI18,18),0),0)+IF(Karakterlap!$F$11&gt;(18+IFERROR(VLOOKUP(Karakterlap!$V$7,$A$24:$J$33,10,FALSE),0)),(Karakterlap!$F$11-(18+IFERROR(VLOOKUP(Karakterlap!$V$7,$A$24:$J$33,10,FALSE),0))),0)+IF(Karakterlap!$F$12&gt;18,IF((Karakterlap!$F$12-IF(BK18&gt;18,BK18,18))&gt;0,Karakterlap!$F$12-IF(BK18&gt;18,BK18,18),0),0)</f>
        <v>#VALUE!</v>
      </c>
      <c r="BN18" t="s">
        <v>977</v>
      </c>
      <c r="BO18" t="s">
        <v>977</v>
      </c>
      <c r="BP18" t="s">
        <v>977</v>
      </c>
      <c r="BQ18" t="s">
        <v>977</v>
      </c>
      <c r="BW18" s="5"/>
      <c r="BX18" s="97" t="s">
        <v>192</v>
      </c>
      <c r="BY18" s="97" t="s">
        <v>190</v>
      </c>
      <c r="BZ18" s="97" t="s">
        <v>189</v>
      </c>
      <c r="CA18" s="97" t="s">
        <v>189</v>
      </c>
      <c r="CB18" s="97" t="s">
        <v>193</v>
      </c>
      <c r="CC18" s="97" t="s">
        <v>187</v>
      </c>
      <c r="CD18" s="97" t="s">
        <v>187</v>
      </c>
      <c r="CE18" s="97" t="s">
        <v>189</v>
      </c>
      <c r="CF18" s="97" t="s">
        <v>187</v>
      </c>
      <c r="CG18" s="97" t="s">
        <v>189</v>
      </c>
    </row>
    <row r="19" spans="1:85" ht="16" thickBot="1" x14ac:dyDescent="0.25">
      <c r="A19" s="32"/>
      <c r="B19" s="32"/>
      <c r="C19" s="33"/>
      <c r="E19" s="1"/>
      <c r="F19" s="1"/>
      <c r="G19" s="26"/>
      <c r="H19" s="27"/>
      <c r="I19" s="27"/>
      <c r="J19" s="27"/>
      <c r="L19" t="s">
        <v>713</v>
      </c>
      <c r="M19">
        <v>0</v>
      </c>
      <c r="N19">
        <v>161</v>
      </c>
      <c r="O19">
        <v>321</v>
      </c>
      <c r="P19">
        <v>641</v>
      </c>
      <c r="Q19">
        <v>1441</v>
      </c>
      <c r="R19">
        <v>2801</v>
      </c>
      <c r="S19">
        <v>5601</v>
      </c>
      <c r="T19">
        <v>10001</v>
      </c>
      <c r="U19">
        <v>20001</v>
      </c>
      <c r="V19">
        <v>40001</v>
      </c>
      <c r="W19">
        <v>60001</v>
      </c>
      <c r="X19">
        <v>80001</v>
      </c>
      <c r="Y19">
        <f>IFERROR(IF(VLOOKUP(L19,Karakterlap!$P$3:$Z$4,10,FALSE)&gt;13,112001+((VLOOKUP(L19,Karakterlap!$P$3:$Z$4,10,FALSE)-13)*31200),112001),112001)</f>
        <v>112001</v>
      </c>
      <c r="Z19">
        <v>4</v>
      </c>
      <c r="AA19">
        <v>15</v>
      </c>
      <c r="AB19">
        <v>70</v>
      </c>
      <c r="AC19">
        <v>0</v>
      </c>
      <c r="AD19">
        <f>IFERROR(IF(VLOOKUP(L19,Karakterlap!$P$3:$Z$4,10,FALSE)&gt;5,IF(VLOOKUP(L19,Karakterlap!$P$3:$Z$4,10,FALSE)&gt;7,55+((VLOOKUP(L19,Karakterlap!$P$3:$Z$4,10,FALSE)-7)*11),55),VLOOKUP(L19,Karakterlap!$P$3:$Z$4,10,FALSE)*11),11)</f>
        <v>11</v>
      </c>
      <c r="AE19">
        <f>IFERROR(IF(Karakterlap!$P$5="Váltott kaszt",IF(Karakterlap!$P$3=Adattábla!$L19,Karakterlap!$Y$3*3,IF(Karakterlap!$P$4=Adattábla!$L19,(Karakterlap!$Y$4-Adattábla!$I$20)*3,3)),VLOOKUP(Adattábla!$L19,Karakterlap!$P$3:$Z$4,10,FALSE)*3),3)</f>
        <v>3</v>
      </c>
      <c r="AF19">
        <f>IFERROR(IF(Karakterlap!$P$5="Váltott kaszt",IF(Karakterlap!$P$3=Adattábla!$L19,Karakterlap!$Y$3*3,IF(Karakterlap!$P$4=Adattábla!$L19,(Karakterlap!$Y$4-Adattábla!$I$20)*3,3)),VLOOKUP(Adattábla!$L19,Karakterlap!$P$3:$Z$4,10,FALSE)*3),3)</f>
        <v>3</v>
      </c>
      <c r="AG19">
        <v>3</v>
      </c>
      <c r="AH19">
        <f>IF(Karakterlap!$P$5="Iker kaszt",IF(Karakterlap!$P$3=L19,IFERROR((Karakterlap!$P$6*14)+(VLOOKUP(L19,Karakterlap!$P$3:$Z$4,10,FALSE)-Karakterlap!$P$6),14),IF(Karakterlap!$P$4=L19,VLOOKUP(L19,Karakterlap!$P$3:$Z$4,10,FALSE),14)),IF(Karakterlap!$P$5="Váltott kaszt",IF(L19=Karakterlap!$P$3,(Karakterlap!$Y$3+3)*14,VLOOKUP(L19,Karakterlap!$P$3:$Z$4,10,FALSE)*14),IFERROR(VLOOKUP(L19,Karakterlap!$P$3:$Z$4,10,FALSE)*14,14)))</f>
        <v>14</v>
      </c>
      <c r="AI19">
        <v>0</v>
      </c>
      <c r="AJ19">
        <f>7+($E$18/2)</f>
        <v>10</v>
      </c>
      <c r="AK19">
        <v>6</v>
      </c>
      <c r="AL19">
        <f>IFERROR(VLOOKUP(L19,Karakterlap!$P$3:$Z$4,10,FALSE)*($E$18+4),$E$18+4)</f>
        <v>10</v>
      </c>
      <c r="AN19" t="str">
        <f>IFERROR(IF(VLOOKUP(L19,Karakterlap!$P$3:$Z$4,10,FALSE)&gt;4,"Pyarroni Mf","nincs"),"még nincs")</f>
        <v>még nincs</v>
      </c>
      <c r="AO19" t="str">
        <f>IFERROR(IF(VLOOKUP(L19,Karakterlap!$P$3:$Z$4,10,FALSE)&gt;4,(IF(Karakterlap!$F$9&gt;10,Karakterlap!$F$9-10,0))+5+((VLOOKUP(L19,Karakterlap!$P$3:$Z$4,10,FALSE)-5)*4),"alacsony szintű"),"más kaszt")</f>
        <v>más kaszt</v>
      </c>
      <c r="BA19">
        <f>IFERROR(IF(Karakterlap!$P$6&gt;13,112001+((Karakterlap!$P$6-13)*31200),112001),112001)</f>
        <v>112001</v>
      </c>
      <c r="BB19" s="36">
        <f>VLOOKUP("k6+12",$I$2:$J$11,2,FALSE)+IFERROR(VLOOKUP(Karakterlap!$V$7,$A$24:$C$33,3,FALSE),0)</f>
        <v>16</v>
      </c>
      <c r="BC19" s="36">
        <f>VLOOKUP("k10+8",$I$2:$J$11,2,FALSE)+IFERROR(VLOOKUP(Karakterlap!$V$7,$A$24:$D$33,4,FALSE),0)</f>
        <v>14</v>
      </c>
      <c r="BD19" s="36">
        <f>VLOOKUP("2k6+6",$I$2:$J$11,2,FALSE)+IFERROR(VLOOKUP(Karakterlap!$V$7,$A$24:$E$33,5,FALSE),0)</f>
        <v>13</v>
      </c>
      <c r="BE19" s="36">
        <f>VLOOKUP("2k6+6",$I$2:$J$11,2,FALSE)+IFERROR(VLOOKUP(Karakterlap!$V$7,$A$24:$F$33,6,FALSE),0)</f>
        <v>13</v>
      </c>
      <c r="BF19" s="48">
        <f>VLOOKUP("k10+10",$I$2:$J$11,2,FALSE)+IFERROR(VLOOKUP(Karakterlap!$V$7,$A$24:$G$33,7,FALSE),0)</f>
        <v>16</v>
      </c>
      <c r="BG19" s="36">
        <f>VLOOKUP("3k6(2x)",$I$2:$J$11,2,FALSE)+IFERROR(VLOOKUP(Karakterlap!$V$7,$A$24:$H$33,8,FALSE),0)</f>
        <v>11</v>
      </c>
      <c r="BH19" s="36">
        <f>VLOOKUP("3k6(2x)",$I$2:$J$11,2,FALSE)+IFERROR(VLOOKUP(Karakterlap!$V$7,$A$24:$I$33,9,FALSE),0)</f>
        <v>11</v>
      </c>
      <c r="BI19" s="36">
        <f t="shared" si="0"/>
        <v>13</v>
      </c>
      <c r="BJ19" s="36">
        <f>VLOOKUP("3k6(2x)",$I$2:$J$11,2,FALSE)+IFERROR(VLOOKUP(Karakterlap!$V$7,$A$24:$J$33,10,FALSE),0)</f>
        <v>11</v>
      </c>
      <c r="BK19" s="36">
        <f t="shared" si="1"/>
        <v>13</v>
      </c>
      <c r="BL19" s="36">
        <f>IF((SUM(Karakterlap!$F$3:$F$12)-SUM(BB19:BK19))&lt;0,0,SUM(Karakterlap!$F$3:$F$12)-SUM(BB19:BK19))</f>
        <v>0</v>
      </c>
      <c r="BM19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19&gt;18,BI19,18))&gt;0,Karakterlap!$F$10-IF(BI19&gt;18,BI19,18),0),0)+IF(Karakterlap!$F$11&gt;(18+IFERROR(VLOOKUP(Karakterlap!$V$7,$A$24:$J$33,10,FALSE),0)),(Karakterlap!$F$11-(18+IFERROR(VLOOKUP(Karakterlap!$V$7,$A$24:$J$33,10,FALSE),0))),0)+IF(Karakterlap!$F$12&gt;18,IF((Karakterlap!$F$12-IF(BK19&gt;18,BK19,18))&gt;0,Karakterlap!$F$12-IF(BK19&gt;18,BK19,18),0),0)</f>
        <v>#VALUE!</v>
      </c>
      <c r="BN19" t="s">
        <v>977</v>
      </c>
      <c r="BO19" t="s">
        <v>977</v>
      </c>
      <c r="BP19" t="s">
        <v>977</v>
      </c>
      <c r="BQ19" t="s">
        <v>977</v>
      </c>
      <c r="BW19" s="5"/>
      <c r="BX19" s="97" t="s">
        <v>192</v>
      </c>
      <c r="BY19" s="97" t="s">
        <v>190</v>
      </c>
      <c r="BZ19" s="97" t="s">
        <v>189</v>
      </c>
      <c r="CA19" s="97" t="s">
        <v>189</v>
      </c>
      <c r="CB19" s="97" t="s">
        <v>193</v>
      </c>
      <c r="CC19" s="97" t="s">
        <v>187</v>
      </c>
      <c r="CD19" s="97" t="s">
        <v>187</v>
      </c>
      <c r="CE19" s="97" t="s">
        <v>189</v>
      </c>
      <c r="CF19" s="97" t="s">
        <v>187</v>
      </c>
      <c r="CG19" s="97" t="s">
        <v>189</v>
      </c>
    </row>
    <row r="20" spans="1:85" ht="16" thickBot="1" x14ac:dyDescent="0.25">
      <c r="A20" s="329" t="s">
        <v>161</v>
      </c>
      <c r="B20" s="330"/>
      <c r="C20" s="330"/>
      <c r="D20" s="330"/>
      <c r="E20" s="330"/>
      <c r="F20" s="330"/>
      <c r="G20" s="330"/>
      <c r="H20" s="330"/>
      <c r="I20" s="34" t="str">
        <f>IF(Karakterlap!P5="Váltott kaszt",ROUNDUP(VLOOKUP(Karakterlap!P3,Adattábla!L:AD,19,FALSE)/(VLOOKUP(Karakterlap!P4,Adattábla!L:AD,19,FALSE)/Karakterlap!Y4),0),"Nem váltott")</f>
        <v>Nem váltott</v>
      </c>
      <c r="L20" t="s">
        <v>717</v>
      </c>
      <c r="M20">
        <v>0</v>
      </c>
      <c r="N20">
        <v>161</v>
      </c>
      <c r="O20">
        <v>321</v>
      </c>
      <c r="P20">
        <v>641</v>
      </c>
      <c r="Q20">
        <v>1441</v>
      </c>
      <c r="R20">
        <v>2801</v>
      </c>
      <c r="S20">
        <v>5601</v>
      </c>
      <c r="T20">
        <v>10001</v>
      </c>
      <c r="U20">
        <v>20001</v>
      </c>
      <c r="V20">
        <v>40001</v>
      </c>
      <c r="W20">
        <v>60001</v>
      </c>
      <c r="X20">
        <v>80001</v>
      </c>
      <c r="Y20">
        <f>IFERROR(IF(VLOOKUP(L20,Karakterlap!$P$3:$Z$4,10,FALSE)&gt;13,112001+((VLOOKUP(L20,Karakterlap!$P$3:$Z$4,10,FALSE)-13)*31200),112001),112001)</f>
        <v>112001</v>
      </c>
      <c r="Z20">
        <v>10</v>
      </c>
      <c r="AA20">
        <v>25</v>
      </c>
      <c r="AB20">
        <v>70</v>
      </c>
      <c r="AC20">
        <v>0</v>
      </c>
      <c r="AD20">
        <f>IFERROR(VLOOKUP(L20,Karakterlap!$P$3:$Z$4,10,FALSE)*11,11)</f>
        <v>11</v>
      </c>
      <c r="AE20">
        <f>IFERROR(IF(Karakterlap!$P$5="Váltott kaszt",IF(Karakterlap!$P$3=Adattábla!$L20,Karakterlap!$Y$3*3,IF(Karakterlap!$P$4=Adattábla!$L20,(Karakterlap!$Y$4-Adattábla!$I$20)*3,3)),VLOOKUP(Adattábla!$L20,Karakterlap!$P$3:$Z$4,10,FALSE)*3),3)</f>
        <v>3</v>
      </c>
      <c r="AF20">
        <f>IFERROR(IF(Karakterlap!$P$5="Váltott kaszt",IF(Karakterlap!$P$3=Adattábla!$L20,Karakterlap!$Y$3*3,IF(Karakterlap!$P$4=Adattábla!$L20,(Karakterlap!$Y$4-Adattábla!$I$20)*3,3)),VLOOKUP(Adattábla!$L20,Karakterlap!$P$3:$Z$4,10,FALSE)*3),3)</f>
        <v>3</v>
      </c>
      <c r="AG20">
        <v>4</v>
      </c>
      <c r="AH20">
        <f>IF(Karakterlap!$P$5="Iker kaszt",IF(Karakterlap!$P$3=L20,IFERROR((Karakterlap!$P$6*12)+(VLOOKUP(L20,Karakterlap!$P$3:$Z$4,10,FALSE)-Karakterlap!$P$6),12),IF(Karakterlap!$P$4=L20,VLOOKUP(L20,Karakterlap!$P$3:$Z$4,10,FALSE),12)),IF(Karakterlap!$P$5="Váltott kaszt",IF(L20=Karakterlap!$P$3,(Karakterlap!$Y$3+3)*12,VLOOKUP(L20,Karakterlap!$P$3:$Z$4,10,FALSE)*12),IFERROR(VLOOKUP(L20,Karakterlap!$P$3:$Z$4,10,FALSE)*12,12)))</f>
        <v>12</v>
      </c>
      <c r="AI20">
        <v>0</v>
      </c>
      <c r="AJ20">
        <v>7</v>
      </c>
      <c r="AK20">
        <v>6</v>
      </c>
      <c r="AL20">
        <f>IFERROR(VLOOKUP(L20,Karakterlap!$P$3:$Z$4,10,FALSE)*($E$18+4),$E$18+4)</f>
        <v>10</v>
      </c>
      <c r="AN20" t="s">
        <v>91</v>
      </c>
      <c r="AO20" t="str">
        <f>IFERROR((IF(Karakterlap!$F$9&gt;10,Karakterlap!$F$9-10,0))+4+((VLOOKUP(L20,Karakterlap!$P$3:$Z$4,10,FALSE)-1)*3),"más kaszt")</f>
        <v>más kaszt</v>
      </c>
      <c r="AQ20" s="14">
        <v>10</v>
      </c>
      <c r="AR20" s="14">
        <v>20</v>
      </c>
      <c r="AS20" s="14">
        <v>10</v>
      </c>
      <c r="BA20">
        <f>IFERROR(IF(Karakterlap!$P$6&gt;13,112001+((Karakterlap!$P$6-13)*31200),112001),112001)</f>
        <v>112001</v>
      </c>
      <c r="BB20" s="36">
        <f>VLOOKUP("k6+12",$I$2:$J$11,2,FALSE)+IFERROR(VLOOKUP(Karakterlap!$V$7,$A$24:$C$33,3,FALSE),0)</f>
        <v>16</v>
      </c>
      <c r="BC20" s="36">
        <f>VLOOKUP("k10+8",$I$2:$J$11,2,FALSE)+IFERROR(VLOOKUP(Karakterlap!$V$7,$A$24:$D$33,4,FALSE),0)</f>
        <v>14</v>
      </c>
      <c r="BD20" s="36">
        <f>VLOOKUP("2k6+6",$I$2:$J$11,2,FALSE)+IFERROR(VLOOKUP(Karakterlap!$V$7,$A$24:$E$33,5,FALSE),0)</f>
        <v>13</v>
      </c>
      <c r="BE20" s="36">
        <f>VLOOKUP("2k6+6",$I$2:$J$11,2,FALSE)+IFERROR(VLOOKUP(Karakterlap!$V$7,$A$24:$F$33,6,FALSE),0)</f>
        <v>13</v>
      </c>
      <c r="BF20" s="48">
        <f>VLOOKUP("k10+10",$I$2:$J$11,2,FALSE)+IFERROR(VLOOKUP(Karakterlap!$V$7,$A$24:$G$33,7,FALSE),0)</f>
        <v>16</v>
      </c>
      <c r="BG20" s="36">
        <f>VLOOKUP("3k6(2x)",$I$2:$J$11,2,FALSE)+IFERROR(VLOOKUP(Karakterlap!$V$7,$A$24:$H$33,8,FALSE),0)</f>
        <v>11</v>
      </c>
      <c r="BH20" s="36">
        <f>VLOOKUP("3k6(2x)",$I$2:$J$11,2,FALSE)+IFERROR(VLOOKUP(Karakterlap!$V$7,$A$24:$I$33,9,FALSE),0)</f>
        <v>11</v>
      </c>
      <c r="BI20" s="36">
        <f t="shared" si="0"/>
        <v>13</v>
      </c>
      <c r="BJ20" s="36">
        <f>VLOOKUP("3k6(2x)",$I$2:$J$11,2,FALSE)+IFERROR(VLOOKUP(Karakterlap!$V$7,$A$24:$J$33,10,FALSE),0)</f>
        <v>11</v>
      </c>
      <c r="BK20" s="36">
        <f t="shared" si="1"/>
        <v>13</v>
      </c>
      <c r="BL20" s="36">
        <f>IF((SUM(Karakterlap!$F$3:$F$12)-SUM(BB20:BK20))&lt;0,0,SUM(Karakterlap!$F$3:$F$12)-SUM(BB20:BK20))</f>
        <v>0</v>
      </c>
      <c r="BM20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20&gt;18,BI20,18))&gt;0,Karakterlap!$F$10-IF(BI20&gt;18,BI20,18),0),0)+IF(Karakterlap!$F$11&gt;(18+IFERROR(VLOOKUP(Karakterlap!$V$7,$A$24:$J$33,10,FALSE),0)),(Karakterlap!$F$11-(18+IFERROR(VLOOKUP(Karakterlap!$V$7,$A$24:$J$33,10,FALSE),0))),0)+IF(Karakterlap!$F$12&gt;18,IF((Karakterlap!$F$12-IF(BK20&gt;18,BK20,18))&gt;0,Karakterlap!$F$12-IF(BK20&gt;18,BK20,18),0),0)</f>
        <v>#VALUE!</v>
      </c>
      <c r="BN20" t="s">
        <v>977</v>
      </c>
      <c r="BO20" t="s">
        <v>977</v>
      </c>
      <c r="BP20" t="s">
        <v>977</v>
      </c>
      <c r="BQ20" t="s">
        <v>977</v>
      </c>
      <c r="BW20" s="5"/>
      <c r="BX20" s="97" t="s">
        <v>192</v>
      </c>
      <c r="BY20" s="97" t="s">
        <v>190</v>
      </c>
      <c r="BZ20" s="97" t="s">
        <v>189</v>
      </c>
      <c r="CA20" s="97" t="s">
        <v>189</v>
      </c>
      <c r="CB20" s="97" t="s">
        <v>193</v>
      </c>
      <c r="CC20" s="97" t="s">
        <v>187</v>
      </c>
      <c r="CD20" s="97" t="s">
        <v>187</v>
      </c>
      <c r="CE20" s="97" t="s">
        <v>189</v>
      </c>
      <c r="CF20" s="97" t="s">
        <v>187</v>
      </c>
      <c r="CG20" s="97" t="s">
        <v>189</v>
      </c>
    </row>
    <row r="21" spans="1:85" ht="16" thickBot="1" x14ac:dyDescent="0.25">
      <c r="L21" t="s">
        <v>719</v>
      </c>
      <c r="M21">
        <v>0</v>
      </c>
      <c r="N21">
        <v>161</v>
      </c>
      <c r="O21">
        <v>321</v>
      </c>
      <c r="P21">
        <v>641</v>
      </c>
      <c r="Q21">
        <v>1441</v>
      </c>
      <c r="R21">
        <v>2801</v>
      </c>
      <c r="S21">
        <v>5601</v>
      </c>
      <c r="T21">
        <v>10001</v>
      </c>
      <c r="U21">
        <v>20001</v>
      </c>
      <c r="V21">
        <v>40001</v>
      </c>
      <c r="W21">
        <v>60001</v>
      </c>
      <c r="X21">
        <v>80001</v>
      </c>
      <c r="Y21">
        <f>IFERROR(IF(VLOOKUP(L21,Karakterlap!$P$3:$Z$4,10,FALSE)&gt;13,112001+((VLOOKUP(L21,Karakterlap!$P$3:$Z$4,10,FALSE)-13)*31200),112001),112001)</f>
        <v>112001</v>
      </c>
      <c r="Z21">
        <v>9</v>
      </c>
      <c r="AA21">
        <v>20</v>
      </c>
      <c r="AB21">
        <v>75</v>
      </c>
      <c r="AC21">
        <v>0</v>
      </c>
      <c r="AD21">
        <f>IFERROR(VLOOKUP(L21,Karakterlap!$P$3:$Z$4,10,FALSE)*11,11)</f>
        <v>11</v>
      </c>
      <c r="AE21">
        <f>IFERROR(IF(Karakterlap!$P$5="Váltott kaszt",IF(Karakterlap!$P$3=Adattábla!$L21,Karakterlap!$Y$3*3,IF(Karakterlap!$P$4=Adattábla!$L21,(Karakterlap!$Y$4-Adattábla!$I$20)*3,3)),VLOOKUP(Adattábla!$L21,Karakterlap!$P$3:$Z$4,10,FALSE)*3),3)</f>
        <v>3</v>
      </c>
      <c r="AF21">
        <f>IFERROR(IF(Karakterlap!$P$5="Váltott kaszt",IF(Karakterlap!$P$3=Adattábla!$L21,Karakterlap!$Y$3*3,IF(Karakterlap!$P$4=Adattábla!$L21,(Karakterlap!$Y$4-Adattábla!$I$20)*3,3)),VLOOKUP(Adattábla!$L21,Karakterlap!$P$3:$Z$4,10,FALSE)*3),3)</f>
        <v>3</v>
      </c>
      <c r="AG21">
        <v>10</v>
      </c>
      <c r="AH21">
        <f>IF(Karakterlap!$P$5="Iker kaszt",IF(Karakterlap!$P$3=L21,IFERROR((Karakterlap!$P$6*10)+(VLOOKUP(L21,Karakterlap!$P$3:$Z$4,10,FALSE)-Karakterlap!$P$6),10),IF(Karakterlap!$P$4=L21,VLOOKUP(L21,Karakterlap!$P$3:$Z$4,10,FALSE),10)),IF(Karakterlap!$P$5="Váltott kaszt",IF(L21=Karakterlap!$P$3,(Karakterlap!$Y$3+3)*10,VLOOKUP(L21,Karakterlap!$P$3:$Z$4,10,FALSE)*10),IFERROR(VLOOKUP(L21,Karakterlap!$P$3:$Z$4,10,FALSE)*10,10)))</f>
        <v>10</v>
      </c>
      <c r="AI21">
        <v>0</v>
      </c>
      <c r="AJ21">
        <v>7</v>
      </c>
      <c r="AK21">
        <v>6</v>
      </c>
      <c r="AL21">
        <f>IFERROR(VLOOKUP(L21,Karakterlap!$P$3:$Z$4,10,FALSE)*($E$18+4),$E$18+4)</f>
        <v>10</v>
      </c>
      <c r="AN21" t="s">
        <v>98</v>
      </c>
      <c r="AS21" s="14">
        <v>20</v>
      </c>
      <c r="BA21">
        <f>IFERROR(IF(Karakterlap!$P$6&gt;13,112001+((Karakterlap!$P$6-13)*31200),112001),112001)</f>
        <v>112001</v>
      </c>
      <c r="BB21" s="36">
        <f>VLOOKUP("k6+12",$I$2:$J$11,2,FALSE)+IFERROR(VLOOKUP(Karakterlap!$V$7,$A$24:$C$33,3,FALSE),0)</f>
        <v>16</v>
      </c>
      <c r="BC21" s="36">
        <f>VLOOKUP("k10+8",$I$2:$J$11,2,FALSE)+IFERROR(VLOOKUP(Karakterlap!$V$7,$A$24:$D$33,4,FALSE),0)</f>
        <v>14</v>
      </c>
      <c r="BD21" s="36">
        <f>VLOOKUP("2k6+6",$I$2:$J$11,2,FALSE)+IFERROR(VLOOKUP(Karakterlap!$V$7,$A$24:$E$33,5,FALSE),0)</f>
        <v>13</v>
      </c>
      <c r="BE21" s="36">
        <f>VLOOKUP("2k6+6",$I$2:$J$11,2,FALSE)+IFERROR(VLOOKUP(Karakterlap!$V$7,$A$24:$F$33,6,FALSE),0)</f>
        <v>13</v>
      </c>
      <c r="BF21" s="48">
        <f>VLOOKUP("k10+10",$I$2:$J$11,2,FALSE)+IFERROR(VLOOKUP(Karakterlap!$V$7,$A$24:$G$33,7,FALSE),0)</f>
        <v>16</v>
      </c>
      <c r="BG21" s="36">
        <f>VLOOKUP("3k6(2x)",$I$2:$J$11,2,FALSE)+IFERROR(VLOOKUP(Karakterlap!$V$7,$A$24:$H$33,8,FALSE),0)</f>
        <v>11</v>
      </c>
      <c r="BH21" s="36">
        <f>VLOOKUP("3k6(2x)",$I$2:$J$11,2,FALSE)+IFERROR(VLOOKUP(Karakterlap!$V$7,$A$24:$I$33,9,FALSE),0)</f>
        <v>11</v>
      </c>
      <c r="BI21" s="36">
        <f t="shared" si="0"/>
        <v>13</v>
      </c>
      <c r="BJ21" s="36">
        <f>VLOOKUP("3k6(2x)",$I$2:$J$11,2,FALSE)+IFERROR(VLOOKUP(Karakterlap!$V$7,$A$24:$J$33,10,FALSE),0)</f>
        <v>11</v>
      </c>
      <c r="BK21" s="36">
        <f t="shared" si="1"/>
        <v>13</v>
      </c>
      <c r="BL21" s="36">
        <f>IF((SUM(Karakterlap!$F$3:$F$12)-SUM(BB21:BK21))&lt;0,0,SUM(Karakterlap!$F$3:$F$12)-SUM(BB21:BK21))</f>
        <v>0</v>
      </c>
      <c r="BM21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21&gt;18,BI21,18))&gt;0,Karakterlap!$F$10-IF(BI21&gt;18,BI21,18),0),0)+IF(Karakterlap!$F$11&gt;(18+IFERROR(VLOOKUP(Karakterlap!$V$7,$A$24:$J$33,10,FALSE),0)),(Karakterlap!$F$11-(18+IFERROR(VLOOKUP(Karakterlap!$V$7,$A$24:$J$33,10,FALSE),0))),0)+IF(Karakterlap!$F$12&gt;18,IF((Karakterlap!$F$12-IF(BK21&gt;18,BK21,18))&gt;0,Karakterlap!$F$12-IF(BK21&gt;18,BK21,18),0),0)</f>
        <v>#VALUE!</v>
      </c>
      <c r="BN21" t="s">
        <v>977</v>
      </c>
      <c r="BO21" t="s">
        <v>977</v>
      </c>
      <c r="BP21" t="s">
        <v>977</v>
      </c>
      <c r="BQ21" t="s">
        <v>977</v>
      </c>
      <c r="BW21" s="5"/>
      <c r="BX21" s="97" t="s">
        <v>192</v>
      </c>
      <c r="BY21" s="97" t="s">
        <v>190</v>
      </c>
      <c r="BZ21" s="97" t="s">
        <v>189</v>
      </c>
      <c r="CA21" s="97" t="s">
        <v>189</v>
      </c>
      <c r="CB21" s="97" t="s">
        <v>193</v>
      </c>
      <c r="CC21" s="97" t="s">
        <v>187</v>
      </c>
      <c r="CD21" s="97" t="s">
        <v>187</v>
      </c>
      <c r="CE21" s="97" t="s">
        <v>189</v>
      </c>
      <c r="CF21" s="97" t="s">
        <v>187</v>
      </c>
      <c r="CG21" s="97" t="s">
        <v>189</v>
      </c>
    </row>
    <row r="22" spans="1:85" x14ac:dyDescent="0.2">
      <c r="A22" s="103" t="s">
        <v>175</v>
      </c>
      <c r="B22" s="104"/>
      <c r="C22" s="104" t="s">
        <v>177</v>
      </c>
      <c r="D22" s="105"/>
      <c r="E22" s="105"/>
      <c r="F22" s="105"/>
      <c r="G22" s="105"/>
      <c r="H22" s="105"/>
      <c r="I22" s="105"/>
      <c r="J22" s="105"/>
      <c r="K22" s="106"/>
      <c r="L22" t="s">
        <v>721</v>
      </c>
      <c r="M22">
        <v>0</v>
      </c>
      <c r="N22">
        <v>161</v>
      </c>
      <c r="O22">
        <v>321</v>
      </c>
      <c r="P22">
        <v>641</v>
      </c>
      <c r="Q22">
        <v>1441</v>
      </c>
      <c r="R22">
        <v>2801</v>
      </c>
      <c r="S22">
        <v>5601</v>
      </c>
      <c r="T22">
        <v>10001</v>
      </c>
      <c r="U22">
        <v>20001</v>
      </c>
      <c r="V22">
        <v>40001</v>
      </c>
      <c r="W22">
        <v>60001</v>
      </c>
      <c r="X22">
        <v>80001</v>
      </c>
      <c r="Y22">
        <f>IFERROR(IF(VLOOKUP(L22,Karakterlap!$P$3:$Z$4,10,FALSE)&gt;13,112001+((VLOOKUP(L22,Karakterlap!$P$3:$Z$4,10,FALSE)-13)*31200),112001),112001)</f>
        <v>112001</v>
      </c>
      <c r="Z22">
        <v>9</v>
      </c>
      <c r="AA22">
        <v>20</v>
      </c>
      <c r="AB22">
        <v>75</v>
      </c>
      <c r="AC22">
        <v>0</v>
      </c>
      <c r="AD22">
        <f>IFERROR(VLOOKUP(L22,Karakterlap!$P$3:$Z$4,10,FALSE)*11,11)</f>
        <v>11</v>
      </c>
      <c r="AE22">
        <f>IFERROR(IF(Karakterlap!$P$5="Váltott kaszt",IF(Karakterlap!$P$3=Adattábla!$L22,Karakterlap!$Y$3*3,IF(Karakterlap!$P$4=Adattábla!$L22,(Karakterlap!$Y$4-Adattábla!$I$20)*3,3)),VLOOKUP(Adattábla!$L22,Karakterlap!$P$3:$Z$4,10,FALSE)*3),3)</f>
        <v>3</v>
      </c>
      <c r="AF22">
        <f>IFERROR(IF(Karakterlap!$P$5="Váltott kaszt",IF(Karakterlap!$P$3=Adattábla!$L22,Karakterlap!$Y$3*3,IF(Karakterlap!$P$4=Adattábla!$L22,(Karakterlap!$Y$4-Adattábla!$I$20)*3,3)),VLOOKUP(Adattábla!$L22,Karakterlap!$P$3:$Z$4,10,FALSE)*3),3)</f>
        <v>3</v>
      </c>
      <c r="AG22">
        <v>5</v>
      </c>
      <c r="AH22">
        <f>IF(Karakterlap!$P$5="Iker kaszt",IF(Karakterlap!$P$3=L22,IFERROR((Karakterlap!$P$6*6)+(VLOOKUP(L22,Karakterlap!$P$3:$Z$4,10,FALSE)-Karakterlap!$P$6),6),IF(Karakterlap!$P$4=L22,VLOOKUP(L22,Karakterlap!$P$3:$Z$4,10,FALSE),6)),IF(Karakterlap!$P$5="Váltott kaszt",IF(L22=Karakterlap!$P$3,(Karakterlap!$Y$3+3)*6,VLOOKUP(L22,Karakterlap!$P$3:$Z$4,10,FALSE)*6),IFERROR(VLOOKUP(L22,Karakterlap!$P$3:$Z$4,10,FALSE)*6,6)))</f>
        <v>6</v>
      </c>
      <c r="AI22">
        <f>IFERROR(IF(Karakterlap!$P$5="Váltott kaszt",IF(L22=Karakterlap!$P$3,Karakterlap!$P$6*20,VLOOKUP(L22,Karakterlap!$P$3:$Z$4,10,FALSE)*20),VLOOKUP(L22,Karakterlap!$P$3:$Z$4,10,FALSE)*20),20)</f>
        <v>20</v>
      </c>
      <c r="AJ22">
        <v>7</v>
      </c>
      <c r="AK22">
        <v>6</v>
      </c>
      <c r="AL22">
        <f>IFERROR(VLOOKUP(L22,Karakterlap!$P$3:$Z$4,10,FALSE)*($E$18+4),$E$18+4)</f>
        <v>10</v>
      </c>
      <c r="AN22" t="s">
        <v>91</v>
      </c>
      <c r="AO22" t="str">
        <f>IFERROR((IF(Karakterlap!$F$9&gt;10,Karakterlap!$F$9-10,0))+4+((VLOOKUP(L22,Karakterlap!$P$3:$Z$4,10,FALSE)-1)*3),"más kaszt")</f>
        <v>más kaszt</v>
      </c>
      <c r="AQ22" s="14">
        <v>35</v>
      </c>
      <c r="AR22" s="14">
        <v>25</v>
      </c>
      <c r="AS22" s="14">
        <v>25</v>
      </c>
      <c r="AT22" s="14">
        <v>35</v>
      </c>
      <c r="AU22" s="14">
        <v>35</v>
      </c>
      <c r="BA22">
        <f>IFERROR(IF(Karakterlap!$P$6&gt;13,112001+((Karakterlap!$P$6-13)*31200),112001),112001)</f>
        <v>112001</v>
      </c>
      <c r="BB22" s="36">
        <f>VLOOKUP("k6+12",$I$2:$J$11,2,FALSE)+IFERROR(VLOOKUP(Karakterlap!$V$7,$A$24:$C$33,3,FALSE),0)</f>
        <v>16</v>
      </c>
      <c r="BC22" s="36">
        <f>VLOOKUP("k10+8",$I$2:$J$11,2,FALSE)+IFERROR(VLOOKUP(Karakterlap!$V$7,$A$24:$D$33,4,FALSE),0)</f>
        <v>14</v>
      </c>
      <c r="BD22" s="36">
        <f>VLOOKUP("2k6+6",$I$2:$J$11,2,FALSE)+IFERROR(VLOOKUP(Karakterlap!$V$7,$A$24:$E$33,5,FALSE),0)</f>
        <v>13</v>
      </c>
      <c r="BE22" s="36">
        <f>VLOOKUP("2k6+6",$I$2:$J$11,2,FALSE)+IFERROR(VLOOKUP(Karakterlap!$V$7,$A$24:$F$33,6,FALSE),0)</f>
        <v>13</v>
      </c>
      <c r="BF22" s="48">
        <f>VLOOKUP("k10+10",$I$2:$J$11,2,FALSE)+IFERROR(VLOOKUP(Karakterlap!$V$7,$A$24:$G$33,7,FALSE),0)</f>
        <v>16</v>
      </c>
      <c r="BG22" s="36">
        <f>VLOOKUP("3k6(2x)",$I$2:$J$11,2,FALSE)+IFERROR(VLOOKUP(Karakterlap!$V$7,$A$24:$H$33,8,FALSE),0)</f>
        <v>11</v>
      </c>
      <c r="BH22" s="36">
        <f>VLOOKUP("3k6(2x)",$I$2:$J$11,2,FALSE)+IFERROR(VLOOKUP(Karakterlap!$V$7,$A$24:$I$33,9,FALSE),0)</f>
        <v>11</v>
      </c>
      <c r="BI22" s="36">
        <f t="shared" si="0"/>
        <v>13</v>
      </c>
      <c r="BJ22" s="36">
        <f>VLOOKUP("3k6(2x)",$I$2:$J$11,2,FALSE)+IFERROR(VLOOKUP(Karakterlap!$V$7,$A$24:$J$33,10,FALSE),0)</f>
        <v>11</v>
      </c>
      <c r="BK22" s="36">
        <f t="shared" si="1"/>
        <v>13</v>
      </c>
      <c r="BL22" s="36">
        <f>IF((SUM(Karakterlap!$F$3:$F$12)-SUM(BB22:BK22))&lt;0,0,SUM(Karakterlap!$F$3:$F$12)-SUM(BB22:BK22))</f>
        <v>0</v>
      </c>
      <c r="BM22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22&gt;18,BI22,18))&gt;0,Karakterlap!$F$10-IF(BI22&gt;18,BI22,18),0),0)+IF(Karakterlap!$F$11&gt;(18+IFERROR(VLOOKUP(Karakterlap!$V$7,$A$24:$J$33,10,FALSE),0)),(Karakterlap!$F$11-(18+IFERROR(VLOOKUP(Karakterlap!$V$7,$A$24:$J$33,10,FALSE),0))),0)+IF(Karakterlap!$F$12&gt;18,IF((Karakterlap!$F$12-IF(BK22&gt;18,BK22,18))&gt;0,Karakterlap!$F$12-IF(BK22&gt;18,BK22,18),0),0)</f>
        <v>#VALUE!</v>
      </c>
      <c r="BN22" t="s">
        <v>977</v>
      </c>
      <c r="BO22" t="s">
        <v>977</v>
      </c>
      <c r="BP22" t="s">
        <v>977</v>
      </c>
      <c r="BQ22" t="s">
        <v>977</v>
      </c>
      <c r="BW22" s="5"/>
      <c r="BX22" s="97" t="s">
        <v>192</v>
      </c>
      <c r="BY22" s="97" t="s">
        <v>190</v>
      </c>
      <c r="BZ22" s="97" t="s">
        <v>189</v>
      </c>
      <c r="CA22" s="97" t="s">
        <v>189</v>
      </c>
      <c r="CB22" s="97" t="s">
        <v>193</v>
      </c>
      <c r="CC22" s="97" t="s">
        <v>187</v>
      </c>
      <c r="CD22" s="97" t="s">
        <v>187</v>
      </c>
      <c r="CE22" s="97" t="s">
        <v>189</v>
      </c>
      <c r="CF22" s="97" t="s">
        <v>187</v>
      </c>
      <c r="CG22" s="97" t="s">
        <v>189</v>
      </c>
    </row>
    <row r="23" spans="1:85" x14ac:dyDescent="0.2">
      <c r="A23" s="107"/>
      <c r="B23" s="102" t="s">
        <v>176</v>
      </c>
      <c r="C23" s="100" t="s">
        <v>163</v>
      </c>
      <c r="D23" s="100" t="s">
        <v>166</v>
      </c>
      <c r="E23" s="100" t="s">
        <v>164</v>
      </c>
      <c r="F23" s="100" t="s">
        <v>165</v>
      </c>
      <c r="G23" s="100" t="s">
        <v>167</v>
      </c>
      <c r="H23" s="100" t="s">
        <v>168</v>
      </c>
      <c r="I23" s="100" t="s">
        <v>169</v>
      </c>
      <c r="J23" s="100" t="s">
        <v>171</v>
      </c>
      <c r="K23" s="114" t="s">
        <v>170</v>
      </c>
      <c r="L23" t="s">
        <v>722</v>
      </c>
      <c r="M23">
        <v>0</v>
      </c>
      <c r="N23">
        <v>161</v>
      </c>
      <c r="O23">
        <v>321</v>
      </c>
      <c r="P23">
        <v>641</v>
      </c>
      <c r="Q23">
        <v>1441</v>
      </c>
      <c r="R23">
        <v>2801</v>
      </c>
      <c r="S23">
        <v>5601</v>
      </c>
      <c r="T23">
        <v>10001</v>
      </c>
      <c r="U23">
        <v>20001</v>
      </c>
      <c r="V23">
        <v>40001</v>
      </c>
      <c r="W23">
        <v>60001</v>
      </c>
      <c r="X23">
        <v>80001</v>
      </c>
      <c r="Y23">
        <f>IFERROR(IF(VLOOKUP(L23,Karakterlap!$P$3:$Z$4,10,FALSE)&gt;13,112001+((VLOOKUP(L23,Karakterlap!$P$3:$Z$4,10,FALSE)-13)*31200),112001),112001)</f>
        <v>112001</v>
      </c>
      <c r="Z23">
        <v>9</v>
      </c>
      <c r="AA23">
        <v>20</v>
      </c>
      <c r="AB23">
        <v>75</v>
      </c>
      <c r="AC23">
        <v>0</v>
      </c>
      <c r="AD23">
        <f>IFERROR(VLOOKUP(L23,Karakterlap!$P$3:$Z$4,10,FALSE)*11,11)</f>
        <v>11</v>
      </c>
      <c r="AE23">
        <f>IFERROR(IF(Karakterlap!$P$5="Váltott kaszt",IF(Karakterlap!$P$3=Adattábla!$L23,Karakterlap!$Y$3*3,IF(Karakterlap!$P$4=Adattábla!$L23,(Karakterlap!$Y$4-Adattábla!$I$20)*3,3)),VLOOKUP(Adattábla!$L23,Karakterlap!$P$3:$Z$4,10,FALSE)*3),3)</f>
        <v>3</v>
      </c>
      <c r="AF23">
        <f>IFERROR(IF(Karakterlap!$P$5="Váltott kaszt",IF(Karakterlap!$P$3=Adattábla!$L23,Karakterlap!$Y$3*3,IF(Karakterlap!$P$4=Adattábla!$L23,(Karakterlap!$Y$4-Adattábla!$I$20)*3,3)),VLOOKUP(Adattábla!$L23,Karakterlap!$P$3:$Z$4,10,FALSE)*3),3)</f>
        <v>3</v>
      </c>
      <c r="AG23">
        <v>10</v>
      </c>
      <c r="AH23">
        <f>IF(Karakterlap!$P$5="Iker kaszt",IF(Karakterlap!$P$3=L23,IFERROR((Karakterlap!$P$6*14)+(VLOOKUP(L23,Karakterlap!$P$3:$Z$4,10,FALSE)-Karakterlap!$P$6),14),IF(Karakterlap!$P$4=L23,VLOOKUP(L23,Karakterlap!$P$3:$Z$4,10,FALSE),14)),IF(Karakterlap!$P$5="Váltott kaszt",IF(L23=Karakterlap!$P$3,(Karakterlap!$Y$3+3)*14,VLOOKUP(L23,Karakterlap!$P$3:$Z$4,10,FALSE)*14),IFERROR(VLOOKUP(L23,Karakterlap!$P$3:$Z$4,10,FALSE)*14,14)))</f>
        <v>14</v>
      </c>
      <c r="AI23">
        <v>0</v>
      </c>
      <c r="AJ23">
        <v>7</v>
      </c>
      <c r="AK23">
        <v>6</v>
      </c>
      <c r="AL23">
        <f>IFERROR(VLOOKUP(L23,Karakterlap!$P$3:$Z$4,10,FALSE)*($E$18+4),$E$18+4)</f>
        <v>10</v>
      </c>
      <c r="AN23" t="s">
        <v>98</v>
      </c>
      <c r="BA23">
        <f>IFERROR(IF(Karakterlap!$P$6&gt;13,112001+((Karakterlap!$P$6-13)*31200),112001),112001)</f>
        <v>112001</v>
      </c>
      <c r="BB23" s="36">
        <f>VLOOKUP("k6+12",$I$2:$J$11,2,FALSE)+IFERROR(VLOOKUP(Karakterlap!$V$7,$A$24:$C$33,3,FALSE),0)</f>
        <v>16</v>
      </c>
      <c r="BC23" s="36">
        <f>VLOOKUP("k10+8",$I$2:$J$11,2,FALSE)+IFERROR(VLOOKUP(Karakterlap!$V$7,$A$24:$D$33,4,FALSE),0)</f>
        <v>14</v>
      </c>
      <c r="BD23" s="36">
        <f>VLOOKUP("2k6+6",$I$2:$J$11,2,FALSE)+IFERROR(VLOOKUP(Karakterlap!$V$7,$A$24:$E$33,5,FALSE),0)</f>
        <v>13</v>
      </c>
      <c r="BE23" s="36">
        <f>VLOOKUP("2k6+6",$I$2:$J$11,2,FALSE)+IFERROR(VLOOKUP(Karakterlap!$V$7,$A$24:$F$33,6,FALSE),0)</f>
        <v>13</v>
      </c>
      <c r="BF23" s="48">
        <f>VLOOKUP("k10+10",$I$2:$J$11,2,FALSE)+IFERROR(VLOOKUP(Karakterlap!$V$7,$A$24:$G$33,7,FALSE),0)</f>
        <v>16</v>
      </c>
      <c r="BG23" s="36">
        <f>VLOOKUP("3k6(2x)",$I$2:$J$11,2,FALSE)+IFERROR(VLOOKUP(Karakterlap!$V$7,$A$24:$H$33,8,FALSE),0)</f>
        <v>11</v>
      </c>
      <c r="BH23" s="36">
        <f>VLOOKUP("3k6(2x)",$I$2:$J$11,2,FALSE)+IFERROR(VLOOKUP(Karakterlap!$V$7,$A$24:$I$33,9,FALSE),0)</f>
        <v>11</v>
      </c>
      <c r="BI23" s="36">
        <f t="shared" si="0"/>
        <v>13</v>
      </c>
      <c r="BJ23" s="36">
        <f>VLOOKUP("3k6(2x)",$I$2:$J$11,2,FALSE)+IFERROR(VLOOKUP(Karakterlap!$V$7,$A$24:$J$33,10,FALSE),0)</f>
        <v>11</v>
      </c>
      <c r="BK23" s="36">
        <f t="shared" si="1"/>
        <v>13</v>
      </c>
      <c r="BL23" s="36">
        <f>IF((SUM(Karakterlap!$F$3:$F$12)-SUM(BB23:BK23))&lt;0,0,SUM(Karakterlap!$F$3:$F$12)-SUM(BB23:BK23))</f>
        <v>0</v>
      </c>
      <c r="BM23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23&gt;18,BI23,18))&gt;0,Karakterlap!$F$10-IF(BI23&gt;18,BI23,18),0),0)+IF(Karakterlap!$F$11&gt;(18+IFERROR(VLOOKUP(Karakterlap!$V$7,$A$24:$J$33,10,FALSE),0)),(Karakterlap!$F$11-(18+IFERROR(VLOOKUP(Karakterlap!$V$7,$A$24:$J$33,10,FALSE),0))),0)+IF(Karakterlap!$F$12&gt;18,IF((Karakterlap!$F$12-IF(BK23&gt;18,BK23,18))&gt;0,Karakterlap!$F$12-IF(BK23&gt;18,BK23,18),0),0)</f>
        <v>#VALUE!</v>
      </c>
      <c r="BN23" t="s">
        <v>977</v>
      </c>
      <c r="BO23" t="s">
        <v>977</v>
      </c>
      <c r="BP23" t="s">
        <v>977</v>
      </c>
      <c r="BQ23" t="s">
        <v>977</v>
      </c>
      <c r="BW23" s="5"/>
      <c r="BX23" s="97" t="s">
        <v>192</v>
      </c>
      <c r="BY23" s="97" t="s">
        <v>190</v>
      </c>
      <c r="BZ23" s="97" t="s">
        <v>189</v>
      </c>
      <c r="CA23" s="97" t="s">
        <v>189</v>
      </c>
      <c r="CB23" s="97" t="s">
        <v>193</v>
      </c>
      <c r="CC23" s="97" t="s">
        <v>187</v>
      </c>
      <c r="CD23" s="97" t="s">
        <v>187</v>
      </c>
      <c r="CE23" s="97" t="s">
        <v>189</v>
      </c>
      <c r="CF23" s="97" t="s">
        <v>187</v>
      </c>
      <c r="CG23" s="97" t="s">
        <v>189</v>
      </c>
    </row>
    <row r="24" spans="1:85" x14ac:dyDescent="0.2">
      <c r="A24" s="107" t="s">
        <v>34</v>
      </c>
      <c r="B24" s="99">
        <v>0</v>
      </c>
      <c r="C24" s="98"/>
      <c r="D24" s="98"/>
      <c r="E24" s="98"/>
      <c r="F24" s="98"/>
      <c r="G24" s="98"/>
      <c r="H24" s="98"/>
      <c r="I24" s="98"/>
      <c r="J24" s="98"/>
      <c r="K24" s="108"/>
      <c r="L24" t="s">
        <v>723</v>
      </c>
      <c r="M24">
        <v>0</v>
      </c>
      <c r="N24">
        <v>161</v>
      </c>
      <c r="O24">
        <v>321</v>
      </c>
      <c r="P24">
        <v>641</v>
      </c>
      <c r="Q24">
        <v>1441</v>
      </c>
      <c r="R24">
        <v>2801</v>
      </c>
      <c r="S24">
        <v>5601</v>
      </c>
      <c r="T24">
        <v>10001</v>
      </c>
      <c r="U24">
        <v>20001</v>
      </c>
      <c r="V24">
        <v>40001</v>
      </c>
      <c r="W24">
        <v>60001</v>
      </c>
      <c r="X24">
        <v>80001</v>
      </c>
      <c r="Y24">
        <f>IFERROR(IF(VLOOKUP(L24,Karakterlap!$P$3:$Z$4,10,FALSE)&gt;13,112001+((VLOOKUP(L24,Karakterlap!$P$3:$Z$4,10,FALSE)-13)*31200),112001),112001)</f>
        <v>112001</v>
      </c>
      <c r="Z24">
        <v>9</v>
      </c>
      <c r="AA24">
        <v>17</v>
      </c>
      <c r="AB24">
        <v>67</v>
      </c>
      <c r="AC24">
        <v>15</v>
      </c>
      <c r="AD24">
        <f>IFERROR(VLOOKUP(L24,Karakterlap!$P$3:$Z$4,10,FALSE)*11,11)</f>
        <v>11</v>
      </c>
      <c r="AE24">
        <f>IFERROR(IF(Karakterlap!$P$5="Váltott kaszt",IF(Karakterlap!$P$3=Adattábla!$L24,Karakterlap!$Y$3*3,IF(Karakterlap!$P$4=Adattábla!$L24,(Karakterlap!$Y$4-Adattábla!$I$20)*3,3)),VLOOKUP(Adattábla!$L24,Karakterlap!$P$3:$Z$4,10,FALSE)*3),3)</f>
        <v>3</v>
      </c>
      <c r="AF24">
        <f>IFERROR(IF(Karakterlap!$P$5="Váltott kaszt",IF(Karakterlap!$P$3=Adattábla!$L24,Karakterlap!$Y$3*3,IF(Karakterlap!$P$4=Adattábla!$L24,(Karakterlap!$Y$4-Adattábla!$I$20)*3,3)),VLOOKUP(Adattábla!$L24,Karakterlap!$P$3:$Z$4,10,FALSE)*3),3)</f>
        <v>3</v>
      </c>
      <c r="AG24">
        <v>10</v>
      </c>
      <c r="AH24">
        <f>IF(Karakterlap!$P$5="Iker kaszt",IF(Karakterlap!$P$3=L24,IFERROR((Karakterlap!$P$6*14)+(VLOOKUP(L24,Karakterlap!$P$3:$Z$4,10,FALSE)-Karakterlap!$P$6),14),IF(Karakterlap!$P$4=L24,VLOOKUP(L24,Karakterlap!$P$3:$Z$4,10,FALSE),14)),IF(Karakterlap!$P$5="Váltott kaszt",IF(L24=Karakterlap!$P$3,(Karakterlap!$Y$3+3)*14,VLOOKUP(L24,Karakterlap!$P$3:$Z$4,10,FALSE)*14),IFERROR(VLOOKUP(L24,Karakterlap!$P$3:$Z$4,10,FALSE)*14,14)))</f>
        <v>14</v>
      </c>
      <c r="AI24">
        <v>0</v>
      </c>
      <c r="AJ24">
        <v>7</v>
      </c>
      <c r="AK24">
        <v>6</v>
      </c>
      <c r="AL24">
        <f>IFERROR(VLOOKUP(L24,Karakterlap!$P$3:$Z$4,10,FALSE)*($E$18+4),$E$18+4)</f>
        <v>10</v>
      </c>
      <c r="AN24" t="s">
        <v>98</v>
      </c>
      <c r="AQ24" s="14">
        <v>15</v>
      </c>
      <c r="AR24" s="14">
        <v>20</v>
      </c>
      <c r="AS24" s="14">
        <v>10</v>
      </c>
      <c r="BA24">
        <f>IFERROR(IF(Karakterlap!$P$6&gt;13,112001+((Karakterlap!$P$6-13)*31200),112001),112001)</f>
        <v>112001</v>
      </c>
      <c r="BB24" s="36">
        <f>VLOOKUP("k6+12",$I$2:$J$11,2,FALSE)+IFERROR(VLOOKUP(Karakterlap!$V$7,$A$24:$C$33,3,FALSE),0)</f>
        <v>16</v>
      </c>
      <c r="BC24" s="36">
        <f>VLOOKUP("k10+8",$I$2:$J$11,2,FALSE)+IFERROR(VLOOKUP(Karakterlap!$V$7,$A$24:$D$33,4,FALSE),0)</f>
        <v>14</v>
      </c>
      <c r="BD24" s="36">
        <f>VLOOKUP("2k6+6",$I$2:$J$11,2,FALSE)+IFERROR(VLOOKUP(Karakterlap!$V$7,$A$24:$E$33,5,FALSE),0)</f>
        <v>13</v>
      </c>
      <c r="BE24" s="36">
        <f>VLOOKUP("2k6+6",$I$2:$J$11,2,FALSE)+IFERROR(VLOOKUP(Karakterlap!$V$7,$A$24:$F$33,6,FALSE),0)</f>
        <v>13</v>
      </c>
      <c r="BF24" s="48">
        <f>VLOOKUP("k10+10",$I$2:$J$11,2,FALSE)+IFERROR(VLOOKUP(Karakterlap!$V$7,$A$24:$G$33,7,FALSE),0)</f>
        <v>16</v>
      </c>
      <c r="BG24" s="36">
        <f>VLOOKUP("3k6(2x)",$I$2:$J$11,2,FALSE)+IFERROR(VLOOKUP(Karakterlap!$V$7,$A$24:$H$33,8,FALSE),0)</f>
        <v>11</v>
      </c>
      <c r="BH24" s="36">
        <f>VLOOKUP("3k6(2x)",$I$2:$J$11,2,FALSE)+IFERROR(VLOOKUP(Karakterlap!$V$7,$A$24:$I$33,9,FALSE),0)</f>
        <v>11</v>
      </c>
      <c r="BI24" s="36">
        <f t="shared" si="0"/>
        <v>13</v>
      </c>
      <c r="BJ24" s="36">
        <f>VLOOKUP("3k6(2x)",$I$2:$J$11,2,FALSE)+IFERROR(VLOOKUP(Karakterlap!$V$7,$A$24:$J$33,10,FALSE),0)</f>
        <v>11</v>
      </c>
      <c r="BK24" s="36">
        <f t="shared" si="1"/>
        <v>13</v>
      </c>
      <c r="BL24" s="36">
        <f>IF((SUM(Karakterlap!$F$3:$F$12)-SUM(BB24:BK24))&lt;0,0,SUM(Karakterlap!$F$3:$F$12)-SUM(BB24:BK24))</f>
        <v>0</v>
      </c>
      <c r="BM24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24&gt;18,BI24,18))&gt;0,Karakterlap!$F$10-IF(BI24&gt;18,BI24,18),0),0)+IF(Karakterlap!$F$11&gt;(18+IFERROR(VLOOKUP(Karakterlap!$V$7,$A$24:$J$33,10,FALSE),0)),(Karakterlap!$F$11-(18+IFERROR(VLOOKUP(Karakterlap!$V$7,$A$24:$J$33,10,FALSE),0))),0)+IF(Karakterlap!$F$12&gt;18,IF((Karakterlap!$F$12-IF(BK24&gt;18,BK24,18))&gt;0,Karakterlap!$F$12-IF(BK24&gt;18,BK24,18),0),0)</f>
        <v>#VALUE!</v>
      </c>
      <c r="BN24" t="s">
        <v>977</v>
      </c>
      <c r="BO24" t="s">
        <v>977</v>
      </c>
      <c r="BP24" t="s">
        <v>977</v>
      </c>
      <c r="BQ24" t="s">
        <v>977</v>
      </c>
      <c r="BW24" s="5"/>
      <c r="BX24" s="97" t="s">
        <v>192</v>
      </c>
      <c r="BY24" s="97" t="s">
        <v>190</v>
      </c>
      <c r="BZ24" s="97" t="s">
        <v>189</v>
      </c>
      <c r="CA24" s="97" t="s">
        <v>189</v>
      </c>
      <c r="CB24" s="97" t="s">
        <v>193</v>
      </c>
      <c r="CC24" s="97" t="s">
        <v>187</v>
      </c>
      <c r="CD24" s="97" t="s">
        <v>187</v>
      </c>
      <c r="CE24" s="97" t="s">
        <v>189</v>
      </c>
      <c r="CF24" s="97" t="s">
        <v>187</v>
      </c>
      <c r="CG24" s="97" t="s">
        <v>189</v>
      </c>
    </row>
    <row r="25" spans="1:85" x14ac:dyDescent="0.2">
      <c r="A25" s="107" t="s">
        <v>35</v>
      </c>
      <c r="B25" s="99">
        <v>75</v>
      </c>
      <c r="C25" s="98">
        <v>-1</v>
      </c>
      <c r="D25" s="98"/>
      <c r="E25" s="98">
        <v>1</v>
      </c>
      <c r="F25" s="98"/>
      <c r="G25" s="98"/>
      <c r="H25" s="98"/>
      <c r="I25" s="98"/>
      <c r="J25" s="98"/>
      <c r="K25" s="108"/>
      <c r="L25" t="s">
        <v>724</v>
      </c>
      <c r="M25">
        <v>0</v>
      </c>
      <c r="N25">
        <v>161</v>
      </c>
      <c r="O25">
        <v>321</v>
      </c>
      <c r="P25">
        <v>641</v>
      </c>
      <c r="Q25">
        <v>1441</v>
      </c>
      <c r="R25">
        <v>2801</v>
      </c>
      <c r="S25">
        <v>5601</v>
      </c>
      <c r="T25">
        <v>10001</v>
      </c>
      <c r="U25">
        <v>20001</v>
      </c>
      <c r="V25">
        <v>40001</v>
      </c>
      <c r="W25">
        <v>60001</v>
      </c>
      <c r="X25">
        <v>80001</v>
      </c>
      <c r="Y25">
        <f>IFERROR(IF(VLOOKUP(L25,Karakterlap!$P$3:$Z$4,10,FALSE)&gt;13,112001+((VLOOKUP(L25,Karakterlap!$P$3:$Z$4,10,FALSE)-13)*31200),112001),112001)</f>
        <v>112001</v>
      </c>
      <c r="Z25">
        <v>9</v>
      </c>
      <c r="AA25">
        <v>20</v>
      </c>
      <c r="AB25">
        <v>75</v>
      </c>
      <c r="AC25">
        <v>0</v>
      </c>
      <c r="AD25">
        <f>IFERROR(VLOOKUP(L25,Karakterlap!$P$3:$Z$4,10,FALSE)*11,11)</f>
        <v>11</v>
      </c>
      <c r="AE25">
        <f>IFERROR(IF(Karakterlap!$P$5="Váltott kaszt",IF(Karakterlap!$P$3=Adattábla!$L25,Karakterlap!$Y$3*3,IF(Karakterlap!$P$4=Adattábla!$L25,(Karakterlap!$Y$4-Adattábla!$I$20)*3,3)),VLOOKUP(Adattábla!$L25,Karakterlap!$P$3:$Z$4,10,FALSE)*3),3)</f>
        <v>3</v>
      </c>
      <c r="AF25">
        <f>IFERROR(IF(Karakterlap!$P$5="Váltott kaszt",IF(Karakterlap!$P$3=Adattábla!$L25,Karakterlap!$Y$3*3,IF(Karakterlap!$P$4=Adattábla!$L25,(Karakterlap!$Y$4-Adattábla!$I$20)*3,3)),VLOOKUP(Adattábla!$L25,Karakterlap!$P$3:$Z$4,10,FALSE)*3),3)</f>
        <v>3</v>
      </c>
      <c r="AG25">
        <v>8</v>
      </c>
      <c r="AH25">
        <f>IF(Karakterlap!$P$5="Iker kaszt",IF(Karakterlap!$P$3=L25,IFERROR((Karakterlap!$P$6*10)+(VLOOKUP(L25,Karakterlap!$P$3:$Z$4,10,FALSE)-Karakterlap!$P$6),10),IF(Karakterlap!$P$4=L25,VLOOKUP(L25,Karakterlap!$P$3:$Z$4,10,FALSE),10)),IF(Karakterlap!$P$5="Váltott kaszt",IF(L25=Karakterlap!$P$3,(Karakterlap!$Y$3+3)*10,VLOOKUP(L25,Karakterlap!$P$3:$Z$4,10,FALSE)*10),IFERROR(VLOOKUP(L25,Karakterlap!$P$3:$Z$4,10,FALSE)*10,10)))</f>
        <v>10</v>
      </c>
      <c r="AI25">
        <v>0</v>
      </c>
      <c r="AJ25">
        <v>7</v>
      </c>
      <c r="AK25">
        <v>7</v>
      </c>
      <c r="AL25">
        <f>IFERROR(VLOOKUP(L25,Karakterlap!$P$3:$Z$4,10,FALSE)*($E$18+5),$E$18+5)</f>
        <v>11</v>
      </c>
      <c r="AN25" t="s">
        <v>98</v>
      </c>
      <c r="AQ25" s="14">
        <v>15</v>
      </c>
      <c r="AS25" s="14">
        <v>10</v>
      </c>
      <c r="AV25" s="14">
        <v>10</v>
      </c>
      <c r="BA25">
        <f>IFERROR(IF(Karakterlap!$P$6&gt;13,112001+((Karakterlap!$P$6-13)*31200),112001),112001)</f>
        <v>112001</v>
      </c>
      <c r="BB25" s="36">
        <f>VLOOKUP("k6+12",$I$2:$J$11,2,FALSE)+IFERROR(VLOOKUP(Karakterlap!$V$7,$A$24:$C$33,3,FALSE),0)</f>
        <v>16</v>
      </c>
      <c r="BC25" s="36">
        <f>VLOOKUP("k10+8",$I$2:$J$11,2,FALSE)+IFERROR(VLOOKUP(Karakterlap!$V$7,$A$24:$D$33,4,FALSE),0)</f>
        <v>14</v>
      </c>
      <c r="BD25" s="36">
        <f>VLOOKUP("2k6+6",$I$2:$J$11,2,FALSE)+IFERROR(VLOOKUP(Karakterlap!$V$7,$A$24:$E$33,5,FALSE),0)</f>
        <v>13</v>
      </c>
      <c r="BE25" s="36">
        <f>VLOOKUP("2k6+6",$I$2:$J$11,2,FALSE)+IFERROR(VLOOKUP(Karakterlap!$V$7,$A$24:$F$33,6,FALSE),0)</f>
        <v>13</v>
      </c>
      <c r="BF25" s="48">
        <f>VLOOKUP("k10+10",$I$2:$J$11,2,FALSE)+IFERROR(VLOOKUP(Karakterlap!$V$7,$A$24:$G$33,7,FALSE),0)</f>
        <v>16</v>
      </c>
      <c r="BG25" s="36">
        <f>VLOOKUP("3k6(2x)",$I$2:$J$11,2,FALSE)+IFERROR(VLOOKUP(Karakterlap!$V$7,$A$24:$H$33,8,FALSE),0)</f>
        <v>11</v>
      </c>
      <c r="BH25" s="36">
        <f>VLOOKUP("3k6(2x)",$I$2:$J$11,2,FALSE)+IFERROR(VLOOKUP(Karakterlap!$V$7,$A$24:$I$33,9,FALSE),0)</f>
        <v>11</v>
      </c>
      <c r="BI25" s="36">
        <f t="shared" si="0"/>
        <v>13</v>
      </c>
      <c r="BJ25" s="36">
        <f>VLOOKUP("3k6(2x)",$I$2:$J$11,2,FALSE)+IFERROR(VLOOKUP(Karakterlap!$V$7,$A$24:$J$33,10,FALSE),0)</f>
        <v>11</v>
      </c>
      <c r="BK25" s="36">
        <f t="shared" si="1"/>
        <v>13</v>
      </c>
      <c r="BL25" s="36">
        <f>IF((SUM(Karakterlap!$F$3:$F$12)-SUM(BB25:BK25))&lt;0,0,SUM(Karakterlap!$F$3:$F$12)-SUM(BB25:BK25))</f>
        <v>0</v>
      </c>
      <c r="BM25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25&gt;18,BI25,18))&gt;0,Karakterlap!$F$10-IF(BI25&gt;18,BI25,18),0),0)+IF(Karakterlap!$F$11&gt;(18+IFERROR(VLOOKUP(Karakterlap!$V$7,$A$24:$J$33,10,FALSE),0)),(Karakterlap!$F$11-(18+IFERROR(VLOOKUP(Karakterlap!$V$7,$A$24:$J$33,10,FALSE),0))),0)+IF(Karakterlap!$F$12&gt;18,IF((Karakterlap!$F$12-IF(BK25&gt;18,BK25,18))&gt;0,Karakterlap!$F$12-IF(BK25&gt;18,BK25,18),0),0)</f>
        <v>#VALUE!</v>
      </c>
      <c r="BN25" t="s">
        <v>977</v>
      </c>
      <c r="BO25" t="s">
        <v>977</v>
      </c>
      <c r="BP25" t="s">
        <v>977</v>
      </c>
      <c r="BQ25" t="s">
        <v>977</v>
      </c>
      <c r="BW25" s="5"/>
      <c r="BX25" s="97" t="s">
        <v>192</v>
      </c>
      <c r="BY25" s="97" t="s">
        <v>190</v>
      </c>
      <c r="BZ25" s="97" t="s">
        <v>189</v>
      </c>
      <c r="CA25" s="97" t="s">
        <v>189</v>
      </c>
      <c r="CB25" s="97" t="s">
        <v>193</v>
      </c>
      <c r="CC25" s="97" t="s">
        <v>187</v>
      </c>
      <c r="CD25" s="97" t="s">
        <v>187</v>
      </c>
      <c r="CE25" s="97" t="s">
        <v>189</v>
      </c>
      <c r="CF25" s="97" t="s">
        <v>187</v>
      </c>
      <c r="CG25" s="97" t="s">
        <v>189</v>
      </c>
    </row>
    <row r="26" spans="1:85" x14ac:dyDescent="0.2">
      <c r="A26" s="107" t="s">
        <v>37</v>
      </c>
      <c r="B26" s="99">
        <v>75</v>
      </c>
      <c r="C26" s="98">
        <v>2</v>
      </c>
      <c r="D26" s="98">
        <v>1</v>
      </c>
      <c r="E26" s="98"/>
      <c r="F26" s="98"/>
      <c r="G26" s="98">
        <v>2</v>
      </c>
      <c r="H26" s="98">
        <v>-3</v>
      </c>
      <c r="I26" s="98">
        <v>-1</v>
      </c>
      <c r="J26" s="98">
        <v>-3</v>
      </c>
      <c r="K26" s="108"/>
      <c r="L26" t="s">
        <v>727</v>
      </c>
      <c r="M26">
        <v>0</v>
      </c>
      <c r="N26">
        <v>161</v>
      </c>
      <c r="O26">
        <v>321</v>
      </c>
      <c r="P26">
        <v>641</v>
      </c>
      <c r="Q26">
        <v>1441</v>
      </c>
      <c r="R26">
        <v>2801</v>
      </c>
      <c r="S26">
        <v>5601</v>
      </c>
      <c r="T26">
        <v>10001</v>
      </c>
      <c r="U26">
        <v>20001</v>
      </c>
      <c r="V26">
        <v>40001</v>
      </c>
      <c r="W26">
        <v>60001</v>
      </c>
      <c r="X26">
        <v>80001</v>
      </c>
      <c r="Y26">
        <f>IFERROR(IF(VLOOKUP(L26,Karakterlap!$P$3:$Z$4,10,FALSE)&gt;13,112001+((VLOOKUP(L26,Karakterlap!$P$3:$Z$4,10,FALSE)-13)*31200),112001),112001)</f>
        <v>112001</v>
      </c>
      <c r="Z26">
        <v>9</v>
      </c>
      <c r="AA26">
        <f>IFERROR(VLOOKUP(L26,Karakterlap!$P$3:$Z$4,10,FALSE)+20,20)</f>
        <v>20</v>
      </c>
      <c r="AB26">
        <v>75</v>
      </c>
      <c r="AC26">
        <v>0</v>
      </c>
      <c r="AD26">
        <f>IFERROR(VLOOKUP(L26,Karakterlap!$P$3:$Z$4,10,FALSE)*11,11)</f>
        <v>11</v>
      </c>
      <c r="AE26">
        <f>IFERROR(IF(Karakterlap!$P$5="Váltott kaszt",IF(Karakterlap!$P$3=Adattábla!$L26,Karakterlap!$Y$3*3,IF(Karakterlap!$P$4=Adattábla!$L26,(Karakterlap!$Y$4-Adattábla!$I$20)*3,3)),VLOOKUP(Adattábla!$L26,Karakterlap!$P$3:$Z$4,10,FALSE)*3),3)</f>
        <v>3</v>
      </c>
      <c r="AF26">
        <f>IFERROR(IF(Karakterlap!$P$5="Váltott kaszt",IF(Karakterlap!$P$3=Adattábla!$L26,Karakterlap!$Y$3*3,IF(Karakterlap!$P$4=Adattábla!$L26,(Karakterlap!$Y$4-Adattábla!$I$20)*3,3)),VLOOKUP(Adattábla!$L26,Karakterlap!$P$3:$Z$4,10,FALSE)*3),3)</f>
        <v>3</v>
      </c>
      <c r="AG26">
        <v>6</v>
      </c>
      <c r="AH26">
        <f>IF(Karakterlap!$P$5="Iker kaszt",IF(Karakterlap!$P$3=L26,IFERROR((Karakterlap!$P$6*5)+(VLOOKUP(L26,Karakterlap!$P$3:$Z$4,10,FALSE)-Karakterlap!$P$6),5),IF(Karakterlap!$P$4=L26,VLOOKUP(L26,Karakterlap!$P$3:$Z$4,10,FALSE),5)),IF(Karakterlap!$P$5="Váltott kaszt",IF(L26=Karakterlap!$P$3,(Karakterlap!$Y$3+3)*5,VLOOKUP(L26,Karakterlap!$P$3:$Z$4,10,FALSE)*5),IFERROR(VLOOKUP(L26,Karakterlap!$P$3:$Z$4,10,FALSE)*5,5)))</f>
        <v>5</v>
      </c>
      <c r="AI26">
        <v>0</v>
      </c>
      <c r="AJ26">
        <v>7</v>
      </c>
      <c r="AK26">
        <v>7</v>
      </c>
      <c r="AL26">
        <f>IFERROR(VLOOKUP(L26,Karakterlap!$P$3:$Z$4,10,FALSE)*($E$18+5),$E$18+5)</f>
        <v>11</v>
      </c>
      <c r="AN26" t="s">
        <v>98</v>
      </c>
      <c r="AQ26" s="14">
        <v>15</v>
      </c>
      <c r="AR26" s="14">
        <v>20</v>
      </c>
      <c r="AS26" s="14">
        <v>10</v>
      </c>
      <c r="BA26">
        <f>IFERROR(IF(Karakterlap!$P$6&gt;13,112001+((Karakterlap!$P$6-13)*31200),112001),112001)</f>
        <v>112001</v>
      </c>
      <c r="BB26" s="36">
        <f>VLOOKUP("k6+12",$I$2:$J$11,2,FALSE)+IFERROR(VLOOKUP(Karakterlap!$V$7,$A$24:$C$33,3,FALSE),0)</f>
        <v>16</v>
      </c>
      <c r="BC26" s="36">
        <f>VLOOKUP("k10+8",$I$2:$J$11,2,FALSE)+IFERROR(VLOOKUP(Karakterlap!$V$7,$A$24:$D$33,4,FALSE),0)</f>
        <v>14</v>
      </c>
      <c r="BD26" s="36">
        <f>VLOOKUP("2k6+6",$I$2:$J$11,2,FALSE)+IFERROR(VLOOKUP(Karakterlap!$V$7,$A$24:$E$33,5,FALSE),0)</f>
        <v>13</v>
      </c>
      <c r="BE26" s="36">
        <f>VLOOKUP("2k6+6",$I$2:$J$11,2,FALSE)+IFERROR(VLOOKUP(Karakterlap!$V$7,$A$24:$F$33,6,FALSE),0)</f>
        <v>13</v>
      </c>
      <c r="BF26" s="48">
        <f>VLOOKUP("k10+10",$I$2:$J$11,2,FALSE)+IFERROR(VLOOKUP(Karakterlap!$V$7,$A$24:$G$33,7,FALSE),0)</f>
        <v>16</v>
      </c>
      <c r="BG26" s="36">
        <f>VLOOKUP("3k6(2x)",$I$2:$J$11,2,FALSE)+IFERROR(VLOOKUP(Karakterlap!$V$7,$A$24:$H$33,8,FALSE),0)</f>
        <v>11</v>
      </c>
      <c r="BH26" s="36">
        <f>VLOOKUP("3k6(2x)",$I$2:$J$11,2,FALSE)+IFERROR(VLOOKUP(Karakterlap!$V$7,$A$24:$I$33,9,FALSE),0)</f>
        <v>11</v>
      </c>
      <c r="BI26" s="36">
        <f t="shared" si="0"/>
        <v>13</v>
      </c>
      <c r="BJ26" s="36">
        <f>VLOOKUP("3k6(2x)",$I$2:$J$11,2,FALSE)+IFERROR(VLOOKUP(Karakterlap!$V$7,$A$24:$J$33,10,FALSE),0)</f>
        <v>11</v>
      </c>
      <c r="BK26" s="36">
        <f t="shared" si="1"/>
        <v>13</v>
      </c>
      <c r="BL26" s="36">
        <f>IF((SUM(Karakterlap!$F$3:$F$12)-SUM(BB26:BK26))&lt;0,0,SUM(Karakterlap!$F$3:$F$12)-SUM(BB26:BK26))</f>
        <v>0</v>
      </c>
      <c r="BM26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26&gt;18,BI26,18))&gt;0,Karakterlap!$F$10-IF(BI26&gt;18,BI26,18),0),0)+IF(Karakterlap!$F$11&gt;(18+IFERROR(VLOOKUP(Karakterlap!$V$7,$A$24:$J$33,10,FALSE),0)),(Karakterlap!$F$11-(18+IFERROR(VLOOKUP(Karakterlap!$V$7,$A$24:$J$33,10,FALSE),0))),0)+IF(Karakterlap!$F$12&gt;18,IF((Karakterlap!$F$12-IF(BK26&gt;18,BK26,18))&gt;0,Karakterlap!$F$12-IF(BK26&gt;18,BK26,18),0),0)</f>
        <v>#VALUE!</v>
      </c>
      <c r="BN26" t="s">
        <v>977</v>
      </c>
      <c r="BO26" t="s">
        <v>977</v>
      </c>
      <c r="BP26" t="s">
        <v>977</v>
      </c>
      <c r="BQ26" t="s">
        <v>977</v>
      </c>
      <c r="BW26" s="5"/>
      <c r="BX26" s="97" t="s">
        <v>192</v>
      </c>
      <c r="BY26" s="97" t="s">
        <v>190</v>
      </c>
      <c r="BZ26" s="97" t="s">
        <v>189</v>
      </c>
      <c r="CA26" s="97" t="s">
        <v>189</v>
      </c>
      <c r="CB26" s="97" t="s">
        <v>193</v>
      </c>
      <c r="CC26" s="97" t="s">
        <v>187</v>
      </c>
      <c r="CD26" s="97" t="s">
        <v>187</v>
      </c>
      <c r="CE26" s="97" t="s">
        <v>189</v>
      </c>
      <c r="CF26" s="97" t="s">
        <v>187</v>
      </c>
      <c r="CG26" s="97" t="s">
        <v>189</v>
      </c>
    </row>
    <row r="27" spans="1:85" x14ac:dyDescent="0.2">
      <c r="A27" s="107" t="s">
        <v>38</v>
      </c>
      <c r="B27" s="99">
        <v>75</v>
      </c>
      <c r="C27" s="98">
        <v>1</v>
      </c>
      <c r="D27" s="98">
        <v>1</v>
      </c>
      <c r="E27" s="98"/>
      <c r="F27" s="98"/>
      <c r="G27" s="98">
        <v>1</v>
      </c>
      <c r="H27" s="98">
        <v>-2</v>
      </c>
      <c r="I27" s="98">
        <v>-1</v>
      </c>
      <c r="J27" s="98">
        <v>-1</v>
      </c>
      <c r="K27" s="108"/>
      <c r="L27" t="s">
        <v>728</v>
      </c>
      <c r="M27">
        <v>0</v>
      </c>
      <c r="N27">
        <v>161</v>
      </c>
      <c r="O27">
        <v>321</v>
      </c>
      <c r="P27">
        <v>641</v>
      </c>
      <c r="Q27">
        <v>1441</v>
      </c>
      <c r="R27">
        <v>2801</v>
      </c>
      <c r="S27">
        <v>5601</v>
      </c>
      <c r="T27">
        <v>10001</v>
      </c>
      <c r="U27">
        <v>20001</v>
      </c>
      <c r="V27">
        <v>40001</v>
      </c>
      <c r="W27">
        <v>60001</v>
      </c>
      <c r="X27">
        <v>80001</v>
      </c>
      <c r="Y27">
        <f>IFERROR(IF(VLOOKUP(L27,Karakterlap!$P$3:$Z$4,10,FALSE)&gt;13,112001+((VLOOKUP(L27,Karakterlap!$P$3:$Z$4,10,FALSE)-13)*31200),112001),112001)</f>
        <v>112001</v>
      </c>
      <c r="Z27">
        <v>9</v>
      </c>
      <c r="AA27">
        <v>20</v>
      </c>
      <c r="AB27">
        <v>75</v>
      </c>
      <c r="AC27">
        <v>0</v>
      </c>
      <c r="AD27">
        <f>IFERROR(VLOOKUP(L27,Karakterlap!$P$3:$Z$4,10,FALSE)*11,11)</f>
        <v>11</v>
      </c>
      <c r="AE27">
        <f>IFERROR(IF(Karakterlap!$P$5="Váltott kaszt",IF(Karakterlap!$P$3=Adattábla!$L27,Karakterlap!$Y$3*3,IF(Karakterlap!$P$4=Adattábla!$L27,(Karakterlap!$Y$4-Adattábla!$I$20)*3,3)),VLOOKUP(Adattábla!$L27,Karakterlap!$P$3:$Z$4,10,FALSE)*3),3)</f>
        <v>3</v>
      </c>
      <c r="AF27">
        <f>IFERROR(IF(Karakterlap!$P$5="Váltott kaszt",IF(Karakterlap!$P$3=Adattábla!$L27,Karakterlap!$Y$3*3,IF(Karakterlap!$P$4=Adattábla!$L27,(Karakterlap!$Y$4-Adattábla!$I$20)*3,3)),VLOOKUP(Adattábla!$L27,Karakterlap!$P$3:$Z$4,10,FALSE)*3),3)</f>
        <v>3</v>
      </c>
      <c r="AG27">
        <v>10</v>
      </c>
      <c r="AH27">
        <f>IF(Karakterlap!$P$5="Iker kaszt",IF(Karakterlap!$P$3=L27,IFERROR((Karakterlap!$P$6*14)+(VLOOKUP(L27,Karakterlap!$P$3:$Z$4,10,FALSE)-Karakterlap!$P$6),14),IF(Karakterlap!$P$4=L27,VLOOKUP(L27,Karakterlap!$P$3:$Z$4,10,FALSE),14)),IF(Karakterlap!$P$5="Váltott kaszt",IF(L27=Karakterlap!$P$3,(Karakterlap!$Y$3+3)*14,VLOOKUP(L27,Karakterlap!$P$3:$Z$4,10,FALSE)*14),IFERROR(VLOOKUP(L27,Karakterlap!$P$3:$Z$4,10,FALSE)*14,14)))</f>
        <v>14</v>
      </c>
      <c r="AI27">
        <v>0</v>
      </c>
      <c r="AJ27">
        <v>7</v>
      </c>
      <c r="AK27">
        <v>6</v>
      </c>
      <c r="AL27">
        <f>IFERROR(VLOOKUP(L27,Karakterlap!$P$3:$Z$4,10,FALSE)*($E$18+4),$E$18+4)</f>
        <v>10</v>
      </c>
      <c r="AN27" t="s">
        <v>98</v>
      </c>
      <c r="AR27" s="14">
        <v>20</v>
      </c>
      <c r="AS27" s="14">
        <v>10</v>
      </c>
      <c r="BA27">
        <f>IFERROR(IF(Karakterlap!$P$6&gt;13,112001+((Karakterlap!$P$6-13)*31200),112001),112001)</f>
        <v>112001</v>
      </c>
      <c r="BB27" s="36">
        <f>VLOOKUP("k6+12",$I$2:$J$11,2,FALSE)+IFERROR(VLOOKUP(Karakterlap!$V$7,$A$24:$C$33,3,FALSE),0)</f>
        <v>16</v>
      </c>
      <c r="BC27" s="36">
        <f>VLOOKUP("k10+8",$I$2:$J$11,2,FALSE)+IFERROR(VLOOKUP(Karakterlap!$V$7,$A$24:$D$33,4,FALSE),0)</f>
        <v>14</v>
      </c>
      <c r="BD27" s="36">
        <f>VLOOKUP("2k6+6",$I$2:$J$11,2,FALSE)+IFERROR(VLOOKUP(Karakterlap!$V$7,$A$24:$E$33,5,FALSE),0)</f>
        <v>13</v>
      </c>
      <c r="BE27" s="36">
        <f>VLOOKUP("2k6+6",$I$2:$J$11,2,FALSE)+IFERROR(VLOOKUP(Karakterlap!$V$7,$A$24:$F$33,6,FALSE),0)</f>
        <v>13</v>
      </c>
      <c r="BF27" s="48">
        <f>VLOOKUP("k10+10",$I$2:$J$11,2,FALSE)+IFERROR(VLOOKUP(Karakterlap!$V$7,$A$24:$G$33,7,FALSE),0)</f>
        <v>16</v>
      </c>
      <c r="BG27" s="36">
        <f>VLOOKUP("3k6(2x)",$I$2:$J$11,2,FALSE)+IFERROR(VLOOKUP(Karakterlap!$V$7,$A$24:$H$33,8,FALSE),0)</f>
        <v>11</v>
      </c>
      <c r="BH27" s="36">
        <f>VLOOKUP("3k6(2x)",$I$2:$J$11,2,FALSE)+IFERROR(VLOOKUP(Karakterlap!$V$7,$A$24:$I$33,9,FALSE),0)</f>
        <v>11</v>
      </c>
      <c r="BI27" s="36">
        <f t="shared" si="0"/>
        <v>13</v>
      </c>
      <c r="BJ27" s="36">
        <f>VLOOKUP("3k6(2x)",$I$2:$J$11,2,FALSE)+IFERROR(VLOOKUP(Karakterlap!$V$7,$A$24:$J$33,10,FALSE),0)</f>
        <v>11</v>
      </c>
      <c r="BK27" s="36">
        <f t="shared" si="1"/>
        <v>13</v>
      </c>
      <c r="BL27" s="36">
        <f>IF((SUM(Karakterlap!$F$3:$F$12)-SUM(BB27:BK27))&lt;0,0,SUM(Karakterlap!$F$3:$F$12)-SUM(BB27:BK27))</f>
        <v>0</v>
      </c>
      <c r="BM27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27&gt;18,BI27,18))&gt;0,Karakterlap!$F$10-IF(BI27&gt;18,BI27,18),0),0)+IF(Karakterlap!$F$11&gt;(18+IFERROR(VLOOKUP(Karakterlap!$V$7,$A$24:$J$33,10,FALSE),0)),(Karakterlap!$F$11-(18+IFERROR(VLOOKUP(Karakterlap!$V$7,$A$24:$J$33,10,FALSE),0))),0)+IF(Karakterlap!$F$12&gt;18,IF((Karakterlap!$F$12-IF(BK27&gt;18,BK27,18))&gt;0,Karakterlap!$F$12-IF(BK27&gt;18,BK27,18),0),0)</f>
        <v>#VALUE!</v>
      </c>
      <c r="BN27" t="s">
        <v>977</v>
      </c>
      <c r="BO27" t="s">
        <v>977</v>
      </c>
      <c r="BP27" t="s">
        <v>977</v>
      </c>
      <c r="BQ27" t="s">
        <v>977</v>
      </c>
      <c r="BW27" s="5"/>
      <c r="BX27" s="97" t="s">
        <v>192</v>
      </c>
      <c r="BY27" s="97" t="s">
        <v>190</v>
      </c>
      <c r="BZ27" s="97" t="s">
        <v>189</v>
      </c>
      <c r="CA27" s="97" t="s">
        <v>189</v>
      </c>
      <c r="CB27" s="97" t="s">
        <v>193</v>
      </c>
      <c r="CC27" s="97" t="s">
        <v>187</v>
      </c>
      <c r="CD27" s="97" t="s">
        <v>187</v>
      </c>
      <c r="CE27" s="97" t="s">
        <v>189</v>
      </c>
      <c r="CF27" s="97" t="s">
        <v>187</v>
      </c>
      <c r="CG27" s="97" t="s">
        <v>189</v>
      </c>
    </row>
    <row r="28" spans="1:85" x14ac:dyDescent="0.2">
      <c r="A28" s="107" t="s">
        <v>36</v>
      </c>
      <c r="B28" s="99">
        <v>100</v>
      </c>
      <c r="C28" s="98"/>
      <c r="D28" s="98"/>
      <c r="E28" s="98"/>
      <c r="F28" s="98"/>
      <c r="G28" s="98"/>
      <c r="H28" s="98">
        <v>1</v>
      </c>
      <c r="I28" s="98">
        <v>1</v>
      </c>
      <c r="J28" s="98"/>
      <c r="K28" s="108"/>
      <c r="L28" t="s">
        <v>730</v>
      </c>
      <c r="M28">
        <v>0</v>
      </c>
      <c r="N28">
        <v>161</v>
      </c>
      <c r="O28">
        <v>321</v>
      </c>
      <c r="P28">
        <v>641</v>
      </c>
      <c r="Q28">
        <v>1441</v>
      </c>
      <c r="R28">
        <v>2801</v>
      </c>
      <c r="S28">
        <v>5601</v>
      </c>
      <c r="T28">
        <v>10001</v>
      </c>
      <c r="U28">
        <v>20001</v>
      </c>
      <c r="V28">
        <v>40001</v>
      </c>
      <c r="W28">
        <v>60001</v>
      </c>
      <c r="X28">
        <v>80001</v>
      </c>
      <c r="Y28">
        <f>IFERROR(IF(VLOOKUP(L28,Karakterlap!$P$3:$Z$4,10,FALSE)&gt;13,112001+((VLOOKUP(L28,Karakterlap!$P$3:$Z$4,10,FALSE)-13)*31200),112001),112001)</f>
        <v>112001</v>
      </c>
      <c r="Z28">
        <v>9</v>
      </c>
      <c r="AA28">
        <v>20</v>
      </c>
      <c r="AB28">
        <v>75</v>
      </c>
      <c r="AC28">
        <v>20</v>
      </c>
      <c r="AD28">
        <f>IFERROR(VLOOKUP(L28,Karakterlap!$P$3:$Z$4,10,FALSE)*11,11)</f>
        <v>11</v>
      </c>
      <c r="AE28">
        <f>IFERROR(IF(Karakterlap!$P$5="Váltott kaszt",IF(Karakterlap!$P$3=Adattábla!$L28,Karakterlap!$Y$3*3,IF(Karakterlap!$P$4=Adattábla!$L28,(Karakterlap!$Y$4-Adattábla!$I$20)*3,3)),VLOOKUP(Adattábla!$L28,Karakterlap!$P$3:$Z$4,10,FALSE)*3),3)</f>
        <v>3</v>
      </c>
      <c r="AF28">
        <f>IFERROR(IF(Karakterlap!$P$5="Váltott kaszt",IF(Karakterlap!$P$3=Adattábla!$L28,Karakterlap!$Y$3*3,IF(Karakterlap!$P$4=Adattábla!$L28,(Karakterlap!$Y$4-Adattábla!$I$20)*3,3)),VLOOKUP(Adattábla!$L28,Karakterlap!$P$3:$Z$4,10,FALSE)*3),3)</f>
        <v>3</v>
      </c>
      <c r="AG28">
        <v>10</v>
      </c>
      <c r="AH28">
        <f>IF(Karakterlap!$P$5="Iker kaszt",IF(Karakterlap!$P$3=L28,IFERROR((Karakterlap!$P$6*14)+(VLOOKUP(L28,Karakterlap!$P$3:$Z$4,10,FALSE)-Karakterlap!$P$6),14),IF(Karakterlap!$P$4=L28,VLOOKUP(L28,Karakterlap!$P$3:$Z$4,10,FALSE),14)),IF(Karakterlap!$P$5="Váltott kaszt",IF(L28=Karakterlap!$P$3,(Karakterlap!$Y$3+3)*14,VLOOKUP(L28,Karakterlap!$P$3:$Z$4,10,FALSE)*14),IFERROR(VLOOKUP(L28,Karakterlap!$P$3:$Z$4,10,FALSE)*14,14)))</f>
        <v>14</v>
      </c>
      <c r="AI28">
        <v>0</v>
      </c>
      <c r="AJ28">
        <v>7</v>
      </c>
      <c r="AK28">
        <v>6</v>
      </c>
      <c r="AL28">
        <f>IFERROR(VLOOKUP(L28,Karakterlap!$P$3:$Z$4,10,FALSE)*($E$18+4),$E$18+4)</f>
        <v>10</v>
      </c>
      <c r="AN28" t="s">
        <v>98</v>
      </c>
      <c r="AS28" s="14">
        <v>10</v>
      </c>
      <c r="BA28">
        <f>IFERROR(IF(Karakterlap!$P$6&gt;13,112001+((Karakterlap!$P$6-13)*31200),112001),112001)</f>
        <v>112001</v>
      </c>
      <c r="BB28" s="36">
        <f>VLOOKUP("k6+12",$I$2:$J$11,2,FALSE)+IFERROR(VLOOKUP(Karakterlap!$V$7,$A$24:$C$33,3,FALSE),0)</f>
        <v>16</v>
      </c>
      <c r="BC28" s="36">
        <f>VLOOKUP("k10+8",$I$2:$J$11,2,FALSE)+IFERROR(VLOOKUP(Karakterlap!$V$7,$A$24:$D$33,4,FALSE),0)</f>
        <v>14</v>
      </c>
      <c r="BD28" s="36">
        <f>VLOOKUP("2k6+6",$I$2:$J$11,2,FALSE)+IFERROR(VLOOKUP(Karakterlap!$V$7,$A$24:$E$33,5,FALSE),0)</f>
        <v>13</v>
      </c>
      <c r="BE28" s="36">
        <f>VLOOKUP("2k6+6",$I$2:$J$11,2,FALSE)+IFERROR(VLOOKUP(Karakterlap!$V$7,$A$24:$F$33,6,FALSE),0)</f>
        <v>13</v>
      </c>
      <c r="BF28" s="48">
        <f>VLOOKUP("k10+10",$I$2:$J$11,2,FALSE)+IFERROR(VLOOKUP(Karakterlap!$V$7,$A$24:$G$33,7,FALSE),0)</f>
        <v>16</v>
      </c>
      <c r="BG28" s="36">
        <f>VLOOKUP("3k6(2x)",$I$2:$J$11,2,FALSE)+IFERROR(VLOOKUP(Karakterlap!$V$7,$A$24:$H$33,8,FALSE),0)</f>
        <v>11</v>
      </c>
      <c r="BH28" s="36">
        <f>VLOOKUP("3k6(2x)",$I$2:$J$11,2,FALSE)+IFERROR(VLOOKUP(Karakterlap!$V$7,$A$24:$I$33,9,FALSE),0)</f>
        <v>11</v>
      </c>
      <c r="BI28" s="36">
        <f t="shared" si="0"/>
        <v>13</v>
      </c>
      <c r="BJ28" s="36">
        <f>VLOOKUP("3k6(2x)",$I$2:$J$11,2,FALSE)+IFERROR(VLOOKUP(Karakterlap!$V$7,$A$24:$J$33,10,FALSE),0)</f>
        <v>11</v>
      </c>
      <c r="BK28" s="36">
        <f t="shared" si="1"/>
        <v>13</v>
      </c>
      <c r="BL28" s="36">
        <f>IF((SUM(Karakterlap!$F$3:$F$12)-SUM(BB28:BK28))&lt;0,0,SUM(Karakterlap!$F$3:$F$12)-SUM(BB28:BK28))</f>
        <v>0</v>
      </c>
      <c r="BM28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28&gt;18,BI28,18))&gt;0,Karakterlap!$F$10-IF(BI28&gt;18,BI28,18),0),0)+IF(Karakterlap!$F$11&gt;(18+IFERROR(VLOOKUP(Karakterlap!$V$7,$A$24:$J$33,10,FALSE),0)),(Karakterlap!$F$11-(18+IFERROR(VLOOKUP(Karakterlap!$V$7,$A$24:$J$33,10,FALSE),0))),0)+IF(Karakterlap!$F$12&gt;18,IF((Karakterlap!$F$12-IF(BK28&gt;18,BK28,18))&gt;0,Karakterlap!$F$12-IF(BK28&gt;18,BK28,18),0),0)</f>
        <v>#VALUE!</v>
      </c>
      <c r="BN28" t="s">
        <v>977</v>
      </c>
      <c r="BO28" t="s">
        <v>977</v>
      </c>
      <c r="BP28" t="s">
        <v>977</v>
      </c>
      <c r="BQ28" t="s">
        <v>977</v>
      </c>
      <c r="BW28" s="5"/>
      <c r="BX28" s="97" t="s">
        <v>192</v>
      </c>
      <c r="BY28" s="97" t="s">
        <v>190</v>
      </c>
      <c r="BZ28" s="97" t="s">
        <v>189</v>
      </c>
      <c r="CA28" s="97" t="s">
        <v>189</v>
      </c>
      <c r="CB28" s="97" t="s">
        <v>193</v>
      </c>
      <c r="CC28" s="97" t="s">
        <v>187</v>
      </c>
      <c r="CD28" s="97" t="s">
        <v>187</v>
      </c>
      <c r="CE28" s="97" t="s">
        <v>189</v>
      </c>
      <c r="CF28" s="97" t="s">
        <v>187</v>
      </c>
      <c r="CG28" s="97" t="s">
        <v>189</v>
      </c>
    </row>
    <row r="29" spans="1:85" x14ac:dyDescent="0.2">
      <c r="A29" s="107" t="s">
        <v>39</v>
      </c>
      <c r="B29" s="99">
        <v>100</v>
      </c>
      <c r="C29" s="98">
        <v>-2</v>
      </c>
      <c r="D29" s="98">
        <v>-1</v>
      </c>
      <c r="E29" s="98">
        <v>1</v>
      </c>
      <c r="F29" s="98">
        <v>1</v>
      </c>
      <c r="G29" s="98"/>
      <c r="H29" s="98">
        <v>1</v>
      </c>
      <c r="I29" s="98"/>
      <c r="J29" s="98"/>
      <c r="K29" s="108"/>
      <c r="L29" t="s">
        <v>732</v>
      </c>
      <c r="M29">
        <v>0</v>
      </c>
      <c r="N29">
        <v>161</v>
      </c>
      <c r="O29">
        <v>321</v>
      </c>
      <c r="P29">
        <v>641</v>
      </c>
      <c r="Q29">
        <v>1441</v>
      </c>
      <c r="R29">
        <v>2801</v>
      </c>
      <c r="S29">
        <v>5601</v>
      </c>
      <c r="T29">
        <v>10001</v>
      </c>
      <c r="U29">
        <v>20001</v>
      </c>
      <c r="V29">
        <v>40001</v>
      </c>
      <c r="W29">
        <v>60001</v>
      </c>
      <c r="X29">
        <v>80001</v>
      </c>
      <c r="Y29">
        <f>IFERROR(IF(VLOOKUP(L29,Karakterlap!$P$3:$Z$4,10,FALSE)&gt;13,112001+((VLOOKUP(L29,Karakterlap!$P$3:$Z$4,10,FALSE)-13)*31200),112001),112001)</f>
        <v>112001</v>
      </c>
      <c r="Z29">
        <v>9</v>
      </c>
      <c r="AA29">
        <v>20</v>
      </c>
      <c r="AB29">
        <v>75</v>
      </c>
      <c r="AC29">
        <v>0</v>
      </c>
      <c r="AD29">
        <f>IFERROR(VLOOKUP(L29,Karakterlap!$P$3:$Z$4,10,FALSE)*11,11)</f>
        <v>11</v>
      </c>
      <c r="AE29">
        <f>IFERROR(IF(Karakterlap!$P$5="Váltott kaszt",IF(Karakterlap!$P$3=Adattábla!$L29,Karakterlap!$Y$3*3,IF(Karakterlap!$P$4=Adattábla!$L29,(Karakterlap!$Y$4-Adattábla!$I$20)*3,3)),VLOOKUP(Adattábla!$L29,Karakterlap!$P$3:$Z$4,10,FALSE)*3),3)</f>
        <v>3</v>
      </c>
      <c r="AF29">
        <f>IFERROR(IF(Karakterlap!$P$5="Váltott kaszt",IF(Karakterlap!$P$3=Adattábla!$L29,Karakterlap!$Y$3*3,IF(Karakterlap!$P$4=Adattábla!$L29,(Karakterlap!$Y$4-Adattábla!$I$20)*3,3)),VLOOKUP(Adattábla!$L29,Karakterlap!$P$3:$Z$4,10,FALSE)*3),3)</f>
        <v>3</v>
      </c>
      <c r="AG29">
        <v>7</v>
      </c>
      <c r="AH29">
        <f>IF(Karakterlap!$P$5="Iker kaszt",IF(Karakterlap!$P$3=L29,IFERROR((Karakterlap!$P$6*7)+(VLOOKUP(L29,Karakterlap!$P$3:$Z$4,10,FALSE)-Karakterlap!$P$6),7),IF(Karakterlap!$P$4=L29,VLOOKUP(L29,Karakterlap!$P$3:$Z$4,10,FALSE),7)),IF(Karakterlap!$P$5="Váltott kaszt",IF(L29=Karakterlap!$P$3,(Karakterlap!$Y$3+3)*7,VLOOKUP(L29,Karakterlap!$P$3:$Z$4,10,FALSE)*7),IFERROR(VLOOKUP(L29,Karakterlap!$P$3:$Z$4,10,FALSE)*7,7)))</f>
        <v>7</v>
      </c>
      <c r="AI29">
        <v>0</v>
      </c>
      <c r="AJ29">
        <v>7</v>
      </c>
      <c r="AK29">
        <v>6</v>
      </c>
      <c r="AL29">
        <f>IFERROR(VLOOKUP(L29,Karakterlap!$P$3:$Z$4,10,FALSE)*($E$18+4),$E$18+4)</f>
        <v>10</v>
      </c>
      <c r="AN29" t="s">
        <v>91</v>
      </c>
      <c r="AO29" t="str">
        <f>IFERROR((IF(Karakterlap!$F$9&gt;10,Karakterlap!$F$9-10,0))+4+((VLOOKUP(L29,Karakterlap!$P$3:$Z$4,10,FALSE)-1)*3),"más kaszt")</f>
        <v>más kaszt</v>
      </c>
      <c r="AQ29" s="14">
        <v>15</v>
      </c>
      <c r="AR29" s="14">
        <v>20</v>
      </c>
      <c r="AS29" s="14">
        <v>10</v>
      </c>
      <c r="BA29">
        <f>IFERROR(IF(Karakterlap!$P$6&gt;13,112001+((Karakterlap!$P$6-13)*31200),112001),112001)</f>
        <v>112001</v>
      </c>
      <c r="BB29" s="36">
        <f>VLOOKUP("k6+12",$I$2:$J$11,2,FALSE)+IFERROR(VLOOKUP(Karakterlap!$V$7,$A$24:$C$33,3,FALSE),0)</f>
        <v>16</v>
      </c>
      <c r="BC29" s="36">
        <f>VLOOKUP("k10+8",$I$2:$J$11,2,FALSE)+IFERROR(VLOOKUP(Karakterlap!$V$7,$A$24:$D$33,4,FALSE),0)</f>
        <v>14</v>
      </c>
      <c r="BD29" s="36">
        <f>VLOOKUP("2k6+6",$I$2:$J$11,2,FALSE)+IFERROR(VLOOKUP(Karakterlap!$V$7,$A$24:$E$33,5,FALSE),0)</f>
        <v>13</v>
      </c>
      <c r="BE29" s="36">
        <f>VLOOKUP("2k6+6",$I$2:$J$11,2,FALSE)+IFERROR(VLOOKUP(Karakterlap!$V$7,$A$24:$F$33,6,FALSE),0)</f>
        <v>13</v>
      </c>
      <c r="BF29" s="48">
        <f>VLOOKUP("k10+10",$I$2:$J$11,2,FALSE)+IFERROR(VLOOKUP(Karakterlap!$V$7,$A$24:$G$33,7,FALSE),0)</f>
        <v>16</v>
      </c>
      <c r="BG29" s="36">
        <f>VLOOKUP("3k6(2x)",$I$2:$J$11,2,FALSE)+IFERROR(VLOOKUP(Karakterlap!$V$7,$A$24:$H$33,8,FALSE),0)</f>
        <v>11</v>
      </c>
      <c r="BH29" s="36">
        <f>VLOOKUP("3k6(2x)",$I$2:$J$11,2,FALSE)+IFERROR(VLOOKUP(Karakterlap!$V$7,$A$24:$I$33,9,FALSE),0)</f>
        <v>11</v>
      </c>
      <c r="BI29" s="36">
        <f t="shared" si="0"/>
        <v>13</v>
      </c>
      <c r="BJ29" s="36">
        <f>VLOOKUP("3k6(2x)",$I$2:$J$11,2,FALSE)+IFERROR(VLOOKUP(Karakterlap!$V$7,$A$24:$J$33,10,FALSE),0)</f>
        <v>11</v>
      </c>
      <c r="BK29" s="36">
        <f t="shared" si="1"/>
        <v>13</v>
      </c>
      <c r="BL29" s="36">
        <f>IF((SUM(Karakterlap!$F$3:$F$12)-SUM(BB29:BK29))&lt;0,0,SUM(Karakterlap!$F$3:$F$12)-SUM(BB29:BK29))</f>
        <v>0</v>
      </c>
      <c r="BM29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29&gt;18,BI29,18))&gt;0,Karakterlap!$F$10-IF(BI29&gt;18,BI29,18),0),0)+IF(Karakterlap!$F$11&gt;(18+IFERROR(VLOOKUP(Karakterlap!$V$7,$A$24:$J$33,10,FALSE),0)),(Karakterlap!$F$11-(18+IFERROR(VLOOKUP(Karakterlap!$V$7,$A$24:$J$33,10,FALSE),0))),0)+IF(Karakterlap!$F$12&gt;18,IF((Karakterlap!$F$12-IF(BK29&gt;18,BK29,18))&gt;0,Karakterlap!$F$12-IF(BK29&gt;18,BK29,18),0),0)</f>
        <v>#VALUE!</v>
      </c>
      <c r="BN29" t="s">
        <v>977</v>
      </c>
      <c r="BO29" t="s">
        <v>977</v>
      </c>
      <c r="BP29" t="s">
        <v>977</v>
      </c>
      <c r="BQ29" t="s">
        <v>977</v>
      </c>
      <c r="BW29" s="5"/>
      <c r="BX29" s="97" t="s">
        <v>192</v>
      </c>
      <c r="BY29" s="97" t="s">
        <v>190</v>
      </c>
      <c r="BZ29" s="97" t="s">
        <v>189</v>
      </c>
      <c r="CA29" s="97" t="s">
        <v>189</v>
      </c>
      <c r="CB29" s="97" t="s">
        <v>193</v>
      </c>
      <c r="CC29" s="97" t="s">
        <v>187</v>
      </c>
      <c r="CD29" s="97" t="s">
        <v>187</v>
      </c>
      <c r="CE29" s="97" t="s">
        <v>189</v>
      </c>
      <c r="CF29" s="97" t="s">
        <v>187</v>
      </c>
      <c r="CG29" s="97" t="s">
        <v>189</v>
      </c>
    </row>
    <row r="30" spans="1:85" x14ac:dyDescent="0.2">
      <c r="A30" s="107" t="s">
        <v>182</v>
      </c>
      <c r="B30" s="99">
        <v>175</v>
      </c>
      <c r="C30" s="98"/>
      <c r="D30" s="98"/>
      <c r="E30" s="98"/>
      <c r="F30" s="98"/>
      <c r="G30" s="98"/>
      <c r="H30" s="98"/>
      <c r="I30" s="98">
        <v>2</v>
      </c>
      <c r="J30" s="98"/>
      <c r="K30" s="108"/>
      <c r="L30" t="s">
        <v>155</v>
      </c>
      <c r="M30">
        <v>0</v>
      </c>
      <c r="N30">
        <v>161</v>
      </c>
      <c r="O30">
        <v>321</v>
      </c>
      <c r="P30">
        <v>641</v>
      </c>
      <c r="Q30">
        <v>1441</v>
      </c>
      <c r="R30">
        <v>2801</v>
      </c>
      <c r="S30">
        <v>5601</v>
      </c>
      <c r="T30">
        <v>10001</v>
      </c>
      <c r="U30">
        <v>20001</v>
      </c>
      <c r="V30">
        <v>40001</v>
      </c>
      <c r="W30">
        <v>60001</v>
      </c>
      <c r="X30">
        <v>80001</v>
      </c>
      <c r="Y30">
        <f>IFERROR(IF(VLOOKUP(L30,Karakterlap!$P$3:$Z$4,10,FALSE)&gt;13,112001+((VLOOKUP(L30,Karakterlap!$P$3:$Z$4,10,FALSE)-13)*31200),112001),112001)</f>
        <v>112001</v>
      </c>
      <c r="Z30">
        <v>9</v>
      </c>
      <c r="AA30">
        <v>20</v>
      </c>
      <c r="AB30">
        <v>75</v>
      </c>
      <c r="AC30">
        <v>0</v>
      </c>
      <c r="AD30">
        <f>IFERROR(VLOOKUP(L30,Karakterlap!$P$3:$Z$4,10,FALSE)*11,11)</f>
        <v>11</v>
      </c>
      <c r="AE30">
        <f>IFERROR(IF(Karakterlap!$P$5="Váltott kaszt",IF(Karakterlap!$P$3=Adattábla!$L30,Karakterlap!$Y$3*5,IF(Karakterlap!$P$4=Adattábla!$L30,(Karakterlap!$Y$4-Adattábla!$I$20)*5,5)),VLOOKUP(Adattábla!$L30,Karakterlap!$P$3:$Z$4,10,FALSE)*5),5)</f>
        <v>5</v>
      </c>
      <c r="AF30">
        <f>IFERROR(IF(Karakterlap!$P$5="Váltott kaszt",IF(Karakterlap!$P$3=Adattábla!$L30,Karakterlap!$Y$3*3,IF(Karakterlap!$P$4=Adattábla!$L30,(Karakterlap!$Y$4-Adattábla!$I$20)*3,3)),VLOOKUP(Adattábla!$L30,Karakterlap!$P$3:$Z$4,10,FALSE)*3),3)</f>
        <v>3</v>
      </c>
      <c r="AG30">
        <v>10</v>
      </c>
      <c r="AH30">
        <f>IF(Karakterlap!$P$5="Iker kaszt",IF(Karakterlap!$P$3=L30,IFERROR((Karakterlap!$P$6*14)+(VLOOKUP(L30,Karakterlap!$P$3:$Z$4,10,FALSE)-Karakterlap!$P$6),14),IF(Karakterlap!$P$4=L30,VLOOKUP(L30,Karakterlap!$P$3:$Z$4,10,FALSE),14)),IF(Karakterlap!$P$5="Váltott kaszt",IF(L30=Karakterlap!$P$3,(Karakterlap!$Y$3+3)*14,VLOOKUP(L30,Karakterlap!$P$3:$Z$4,10,FALSE)*14),IFERROR(VLOOKUP(L30,Karakterlap!$P$3:$Z$4,10,FALSE)*14,14)))</f>
        <v>14</v>
      </c>
      <c r="AI30">
        <v>0</v>
      </c>
      <c r="AJ30">
        <v>6</v>
      </c>
      <c r="AK30">
        <v>8</v>
      </c>
      <c r="AL30">
        <f>IFERROR(VLOOKUP(L30,Karakterlap!$P$3:$Z$4,10,FALSE)*($E$18+4),$E$18+4)</f>
        <v>10</v>
      </c>
      <c r="AN30" t="s">
        <v>98</v>
      </c>
      <c r="AR30" s="14">
        <v>20</v>
      </c>
      <c r="AS30" s="14">
        <v>10</v>
      </c>
      <c r="BA30">
        <f>IFERROR(IF(Karakterlap!$P$6&gt;13,112001+((Karakterlap!$P$6-13)*31200),112001),112001)</f>
        <v>112001</v>
      </c>
      <c r="BB30" s="36">
        <f>VLOOKUP("k6+12",$I$2:$J$11,2,FALSE)+IFERROR(VLOOKUP(Karakterlap!$V$7,$A$24:$C$33,3,FALSE),0)</f>
        <v>16</v>
      </c>
      <c r="BC30" s="36">
        <f>VLOOKUP("k10+8",$I$2:$J$11,2,FALSE)+IFERROR(VLOOKUP(Karakterlap!$V$7,$A$24:$D$33,4,FALSE),0)</f>
        <v>14</v>
      </c>
      <c r="BD30" s="36">
        <f>VLOOKUP("2k6+6",$I$2:$J$11,2,FALSE)+IFERROR(VLOOKUP(Karakterlap!$V$7,$A$24:$E$33,5,FALSE),0)</f>
        <v>13</v>
      </c>
      <c r="BE30" s="36">
        <f>VLOOKUP("2k6+6",$I$2:$J$11,2,FALSE)+IFERROR(VLOOKUP(Karakterlap!$V$7,$A$24:$F$33,6,FALSE),0)</f>
        <v>13</v>
      </c>
      <c r="BF30" s="48">
        <f>VLOOKUP("k10+10",$I$2:$J$11,2,FALSE)+IFERROR(VLOOKUP(Karakterlap!$V$7,$A$24:$G$33,7,FALSE),0)</f>
        <v>16</v>
      </c>
      <c r="BG30" s="36">
        <f>VLOOKUP("3k6(2x)",$I$2:$J$11,2,FALSE)+IFERROR(VLOOKUP(Karakterlap!$V$7,$A$24:$H$33,8,FALSE),0)</f>
        <v>11</v>
      </c>
      <c r="BH30" s="36">
        <f>VLOOKUP("3k6(2x)",$I$2:$J$11,2,FALSE)+IFERROR(VLOOKUP(Karakterlap!$V$7,$A$24:$I$33,9,FALSE),0)</f>
        <v>11</v>
      </c>
      <c r="BI30" s="36">
        <f t="shared" si="0"/>
        <v>13</v>
      </c>
      <c r="BJ30" s="36">
        <f>VLOOKUP("3k6(2x)",$I$2:$J$11,2,FALSE)+IFERROR(VLOOKUP(Karakterlap!$V$7,$A$24:$J$33,10,FALSE),0)</f>
        <v>11</v>
      </c>
      <c r="BK30" s="36">
        <f t="shared" si="1"/>
        <v>13</v>
      </c>
      <c r="BL30" s="36">
        <f>IF((SUM(Karakterlap!$F$3:$F$12)-SUM(BB30:BK30))&lt;0,0,SUM(Karakterlap!$F$3:$F$12)-SUM(BB30:BK30))</f>
        <v>0</v>
      </c>
      <c r="BM30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30&gt;18,BI30,18))&gt;0,Karakterlap!$F$10-IF(BI30&gt;18,BI30,18),0),0)+IF(Karakterlap!$F$11&gt;(18+IFERROR(VLOOKUP(Karakterlap!$V$7,$A$24:$J$33,10,FALSE),0)),(Karakterlap!$F$11-(18+IFERROR(VLOOKUP(Karakterlap!$V$7,$A$24:$J$33,10,FALSE),0))),0)+IF(Karakterlap!$F$12&gt;18,IF((Karakterlap!$F$12-IF(BK30&gt;18,BK30,18))&gt;0,Karakterlap!$F$12-IF(BK30&gt;18,BK30,18),0),0)</f>
        <v>#VALUE!</v>
      </c>
      <c r="BN30" t="s">
        <v>977</v>
      </c>
      <c r="BO30" t="s">
        <v>977</v>
      </c>
      <c r="BP30" t="s">
        <v>977</v>
      </c>
      <c r="BQ30" t="s">
        <v>977</v>
      </c>
      <c r="BW30" s="5"/>
      <c r="BX30" s="97" t="s">
        <v>192</v>
      </c>
      <c r="BY30" s="97" t="s">
        <v>190</v>
      </c>
      <c r="BZ30" s="97" t="s">
        <v>189</v>
      </c>
      <c r="CA30" s="97" t="s">
        <v>189</v>
      </c>
      <c r="CB30" s="97" t="s">
        <v>193</v>
      </c>
      <c r="CC30" s="97" t="s">
        <v>187</v>
      </c>
      <c r="CD30" s="97" t="s">
        <v>187</v>
      </c>
      <c r="CE30" s="97" t="s">
        <v>189</v>
      </c>
      <c r="CF30" s="97" t="s">
        <v>187</v>
      </c>
      <c r="CG30" s="97" t="s">
        <v>189</v>
      </c>
    </row>
    <row r="31" spans="1:85" x14ac:dyDescent="0.2">
      <c r="A31" s="107" t="s">
        <v>162</v>
      </c>
      <c r="B31" s="99">
        <v>175</v>
      </c>
      <c r="C31" s="98">
        <v>3</v>
      </c>
      <c r="D31" s="98">
        <v>2</v>
      </c>
      <c r="E31" s="98">
        <v>2</v>
      </c>
      <c r="F31" s="98">
        <v>1</v>
      </c>
      <c r="G31" s="98">
        <v>3</v>
      </c>
      <c r="H31" s="98"/>
      <c r="I31" s="98">
        <v>-1</v>
      </c>
      <c r="J31" s="98">
        <v>-5</v>
      </c>
      <c r="K31" s="108"/>
      <c r="L31" t="s">
        <v>156</v>
      </c>
      <c r="M31">
        <v>0</v>
      </c>
      <c r="N31">
        <v>189</v>
      </c>
      <c r="O31">
        <v>377</v>
      </c>
      <c r="P31">
        <v>826</v>
      </c>
      <c r="Q31">
        <v>1651</v>
      </c>
      <c r="R31">
        <v>3301</v>
      </c>
      <c r="S31">
        <v>7251</v>
      </c>
      <c r="T31">
        <v>12051</v>
      </c>
      <c r="U31">
        <v>24001</v>
      </c>
      <c r="V31">
        <v>48001</v>
      </c>
      <c r="W31">
        <v>68001</v>
      </c>
      <c r="X31">
        <v>93001</v>
      </c>
      <c r="Y31">
        <f>IFERROR(IF(VLOOKUP(L31,Karakterlap!$P$3:$Z$4,10,FALSE)&gt;13,130001+((VLOOKUP(L31,Karakterlap!$P$3:$Z$4,10,FALSE)-13)*40000),130001),130001)</f>
        <v>130001</v>
      </c>
      <c r="Z31">
        <v>9</v>
      </c>
      <c r="AA31">
        <v>20</v>
      </c>
      <c r="AB31">
        <v>75</v>
      </c>
      <c r="AC31">
        <v>0</v>
      </c>
      <c r="AD31">
        <f>IFERROR(VLOOKUP(L31,Karakterlap!$P$3:$Z$4,10,FALSE)*12,12)</f>
        <v>12</v>
      </c>
      <c r="AE31">
        <f>IFERROR(IF(Karakterlap!$P$5="Váltott kaszt",IF(Karakterlap!$P$3=Adattábla!$L31,Karakterlap!$Y$3*4,IF(Karakterlap!$P$4=Adattábla!$L31,(Karakterlap!$Y$4-Adattábla!$I$20)*4,4)),VLOOKUP(Adattábla!$L31,Karakterlap!$P$3:$Z$4,10,FALSE)*4),4)</f>
        <v>4</v>
      </c>
      <c r="AF31">
        <f>IFERROR(IF(Karakterlap!$P$5="Váltott kaszt",IF(Karakterlap!$P$3=Adattábla!$L31,Karakterlap!$Y$3*4,IF(Karakterlap!$P$4=Adattábla!$L31,(Karakterlap!$Y$4-Adattábla!$I$20)*4,4)),VLOOKUP(Adattábla!$L31,Karakterlap!$P$3:$Z$4,10,FALSE)*4),4)</f>
        <v>4</v>
      </c>
      <c r="AG31">
        <v>3</v>
      </c>
      <c r="AH31">
        <f>IF(Karakterlap!$P$5="Iker kaszt",IF(Karakterlap!$P$3=L31,IFERROR((Karakterlap!$P$6*6)+(VLOOKUP(L31,Karakterlap!$P$3:$Z$4,10,FALSE)-Karakterlap!$P$6),6),IF(Karakterlap!$P$4=L31,VLOOKUP(L31,Karakterlap!$P$3:$Z$4,10,FALSE),6)),IF(Karakterlap!$P$5="Váltott kaszt",IF(L31=Karakterlap!$P$3,(Karakterlap!$Y$3+3)*6,VLOOKUP(L31,Karakterlap!$P$3:$Z$4,10,FALSE)*6),IFERROR(VLOOKUP(L31,Karakterlap!$P$3:$Z$4,10,FALSE)*6,6)))</f>
        <v>6</v>
      </c>
      <c r="AI31">
        <v>0</v>
      </c>
      <c r="AJ31">
        <v>8</v>
      </c>
      <c r="AK31">
        <v>7</v>
      </c>
      <c r="AL31">
        <f>IFERROR(VLOOKUP(L31,Karakterlap!$P$3:$Z$4,10,FALSE)*($E$18+5),$E$18+5)</f>
        <v>11</v>
      </c>
      <c r="AN31" t="s">
        <v>98</v>
      </c>
      <c r="AR31" s="14">
        <v>30</v>
      </c>
      <c r="AS31" s="14">
        <v>20</v>
      </c>
      <c r="BA31">
        <f>IFERROR(IF(Karakterlap!$P$6&gt;13,130001+((Karakterlap!$P$6-13)*40000),130001),130001)</f>
        <v>130001</v>
      </c>
      <c r="BB31" s="36">
        <f>VLOOKUP("k6+12",$I$2:$J$11,2,FALSE)+IFERROR(VLOOKUP(Karakterlap!$V$7,$A$24:$C$33,3,FALSE),0)</f>
        <v>16</v>
      </c>
      <c r="BC31" s="36">
        <f>VLOOKUP("k10+8",$I$2:$J$11,2,FALSE)+IFERROR(VLOOKUP(Karakterlap!$V$7,$A$24:$D$33,4,FALSE),0)</f>
        <v>14</v>
      </c>
      <c r="BD31" s="36">
        <f>VLOOKUP("2k6+6",$I$2:$J$11,2,FALSE)+IFERROR(VLOOKUP(Karakterlap!$V$7,$A$24:$E$33,5,FALSE),0)</f>
        <v>13</v>
      </c>
      <c r="BE31" s="36">
        <f>VLOOKUP("2k6+6",$I$2:$J$11,2,FALSE)+IFERROR(VLOOKUP(Karakterlap!$V$7,$A$24:$F$33,6,FALSE),0)</f>
        <v>13</v>
      </c>
      <c r="BF31" s="48">
        <f>VLOOKUP("k10+10",$I$2:$J$11,2,FALSE)+IFERROR(VLOOKUP(Karakterlap!$V$7,$A$24:$G$33,7,FALSE),0)</f>
        <v>16</v>
      </c>
      <c r="BG31" s="36">
        <f>VLOOKUP("3k6(2x)",$I$2:$J$11,2,FALSE)+IFERROR(VLOOKUP(Karakterlap!$V$7,$A$24:$H$33,8,FALSE),0)</f>
        <v>11</v>
      </c>
      <c r="BH31" s="36">
        <f>VLOOKUP("3k6(2x)",$I$2:$J$11,2,FALSE)+IFERROR(VLOOKUP(Karakterlap!$V$7,$A$24:$I$33,9,FALSE),0)</f>
        <v>11</v>
      </c>
      <c r="BI31" s="36">
        <f t="shared" si="0"/>
        <v>13</v>
      </c>
      <c r="BJ31" s="36">
        <f>VLOOKUP("3k6(2x)",$I$2:$J$11,2,FALSE)+IFERROR(VLOOKUP(Karakterlap!$V$7,$A$24:$J$33,10,FALSE),0)</f>
        <v>11</v>
      </c>
      <c r="BK31" s="36">
        <f t="shared" si="1"/>
        <v>13</v>
      </c>
      <c r="BL31" s="36">
        <f>IF((SUM(Karakterlap!$F$3:$F$12)-SUM(BB31:BK31))&lt;0,0,SUM(Karakterlap!$F$3:$F$12)-SUM(BB31:BK31))</f>
        <v>0</v>
      </c>
      <c r="BM31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31&gt;18,BI31,18))&gt;0,Karakterlap!$F$10-IF(BI31&gt;18,BI31,18),0),0)+IF(Karakterlap!$F$11&gt;(18+IFERROR(VLOOKUP(Karakterlap!$V$7,$A$24:$J$33,10,FALSE),0)),(Karakterlap!$F$11-(18+IFERROR(VLOOKUP(Karakterlap!$V$7,$A$24:$J$33,10,FALSE),0))),0)+IF(Karakterlap!$F$12&gt;18,IF((Karakterlap!$F$12-IF(BK31&gt;18,BK31,18))&gt;0,Karakterlap!$F$12-IF(BK31&gt;18,BK31,18),0),0)</f>
        <v>#VALUE!</v>
      </c>
      <c r="BN31" t="s">
        <v>977</v>
      </c>
      <c r="BO31" t="s">
        <v>977</v>
      </c>
      <c r="BP31" t="s">
        <v>977</v>
      </c>
      <c r="BQ31" t="s">
        <v>977</v>
      </c>
      <c r="BW31" s="5"/>
      <c r="BX31" s="97" t="s">
        <v>192</v>
      </c>
      <c r="BY31" s="97" t="s">
        <v>190</v>
      </c>
      <c r="BZ31" s="97" t="s">
        <v>189</v>
      </c>
      <c r="CA31" s="97" t="s">
        <v>189</v>
      </c>
      <c r="CB31" s="97" t="s">
        <v>193</v>
      </c>
      <c r="CC31" s="97" t="s">
        <v>187</v>
      </c>
      <c r="CD31" s="97" t="s">
        <v>187</v>
      </c>
      <c r="CE31" s="97" t="s">
        <v>189</v>
      </c>
      <c r="CF31" s="97" t="s">
        <v>187</v>
      </c>
      <c r="CG31" s="97" t="s">
        <v>189</v>
      </c>
    </row>
    <row r="32" spans="1:85" x14ac:dyDescent="0.2">
      <c r="A32" s="107" t="s">
        <v>183</v>
      </c>
      <c r="B32" s="99">
        <v>150</v>
      </c>
      <c r="C32" s="98">
        <v>1</v>
      </c>
      <c r="D32" s="98">
        <v>1</v>
      </c>
      <c r="E32" s="98"/>
      <c r="F32" s="98"/>
      <c r="G32" s="98"/>
      <c r="H32" s="98">
        <v>3</v>
      </c>
      <c r="I32" s="98"/>
      <c r="J32" s="98">
        <v>-1</v>
      </c>
      <c r="K32" s="108"/>
      <c r="L32" t="s">
        <v>737</v>
      </c>
      <c r="M32">
        <v>0</v>
      </c>
      <c r="N32">
        <v>161</v>
      </c>
      <c r="O32">
        <v>321</v>
      </c>
      <c r="P32">
        <v>641</v>
      </c>
      <c r="Q32">
        <v>1441</v>
      </c>
      <c r="R32">
        <v>2801</v>
      </c>
      <c r="S32">
        <v>5601</v>
      </c>
      <c r="T32">
        <v>10001</v>
      </c>
      <c r="U32">
        <v>20001</v>
      </c>
      <c r="V32">
        <v>40001</v>
      </c>
      <c r="W32">
        <v>60001</v>
      </c>
      <c r="X32">
        <v>80001</v>
      </c>
      <c r="Y32">
        <f>IFERROR(IF(VLOOKUP(L32,Karakterlap!$P$3:$Z$4,10,FALSE)&gt;13,112001+((VLOOKUP(L32,Karakterlap!$P$3:$Z$4,10,FALSE)-13)*31200),112001),112001)</f>
        <v>112001</v>
      </c>
      <c r="Z32">
        <v>9</v>
      </c>
      <c r="AA32">
        <v>20</v>
      </c>
      <c r="AB32">
        <v>75</v>
      </c>
      <c r="AC32">
        <v>0</v>
      </c>
      <c r="AD32">
        <f>IFERROR(VLOOKUP(L32,Karakterlap!$P$3:$Z$4,10,FALSE)*11,11)</f>
        <v>11</v>
      </c>
      <c r="AE32">
        <f>IFERROR(IF(Karakterlap!$P$5="Váltott kaszt",IF(Karakterlap!$P$3=Adattábla!$L32,Karakterlap!$Y$3*3,IF(Karakterlap!$P$4=Adattábla!$L32,(Karakterlap!$Y$4-Adattábla!$I$20)*3,3)),VLOOKUP(Adattábla!$L32,Karakterlap!$P$3:$Z$4,10,FALSE)*3),3)</f>
        <v>3</v>
      </c>
      <c r="AF32">
        <f>IFERROR(IF(Karakterlap!$P$5="Váltott kaszt",IF(Karakterlap!$P$3=Adattábla!$L32,Karakterlap!$Y$3*3,IF(Karakterlap!$P$4=Adattábla!$L32,(Karakterlap!$Y$4-Adattábla!$I$20)*3,3)),VLOOKUP(Adattábla!$L32,Karakterlap!$P$3:$Z$4,10,FALSE)*3),3)</f>
        <v>3</v>
      </c>
      <c r="AG32">
        <v>10</v>
      </c>
      <c r="AH32">
        <f>IF(Karakterlap!$P$5="Iker kaszt",IF(Karakterlap!$P$3=L32,IFERROR((Karakterlap!$P$6*14)+(VLOOKUP(L32,Karakterlap!$P$3:$Z$4,10,FALSE)-Karakterlap!$P$6),14),IF(Karakterlap!$P$4=L32,VLOOKUP(L32,Karakterlap!$P$3:$Z$4,10,FALSE),14)),IF(Karakterlap!$P$5="Váltott kaszt",IF(L32=Karakterlap!$P$3,(Karakterlap!$Y$3+3)*14,VLOOKUP(L32,Karakterlap!$P$3:$Z$4,10,FALSE)*14),IFERROR(VLOOKUP(L32,Karakterlap!$P$3:$Z$4,10,FALSE)*14,14)))</f>
        <v>14</v>
      </c>
      <c r="AI32">
        <v>0</v>
      </c>
      <c r="AJ32">
        <v>7</v>
      </c>
      <c r="AK32">
        <v>6</v>
      </c>
      <c r="AL32">
        <f>IFERROR(VLOOKUP(L32,Karakterlap!$P$3:$Z$4,10,FALSE)*($E$18+4),$E$18+4)</f>
        <v>10</v>
      </c>
      <c r="AN32" t="s">
        <v>98</v>
      </c>
      <c r="AQ32" s="14">
        <v>15</v>
      </c>
      <c r="AR32" s="14">
        <v>20</v>
      </c>
      <c r="AS32" s="14">
        <v>10</v>
      </c>
      <c r="BA32">
        <f>IFERROR(IF(Karakterlap!$P$6&gt;13,112001+((Karakterlap!$P$6-13)*31200),112001),112001)</f>
        <v>112001</v>
      </c>
      <c r="BB32" s="36">
        <f>VLOOKUP("k6+12",$I$2:$J$11,2,FALSE)+IFERROR(VLOOKUP(Karakterlap!$V$7,$A$24:$C$33,3,FALSE),0)</f>
        <v>16</v>
      </c>
      <c r="BC32" s="36">
        <f>VLOOKUP("k10+8",$I$2:$J$11,2,FALSE)+IFERROR(VLOOKUP(Karakterlap!$V$7,$A$24:$D$33,4,FALSE),0)</f>
        <v>14</v>
      </c>
      <c r="BD32" s="36">
        <f>VLOOKUP("2k6+6",$I$2:$J$11,2,FALSE)+IFERROR(VLOOKUP(Karakterlap!$V$7,$A$24:$E$33,5,FALSE),0)</f>
        <v>13</v>
      </c>
      <c r="BE32" s="36">
        <f>VLOOKUP("2k6+6",$I$2:$J$11,2,FALSE)+IFERROR(VLOOKUP(Karakterlap!$V$7,$A$24:$F$33,6,FALSE),0)</f>
        <v>13</v>
      </c>
      <c r="BF32" s="48">
        <f>VLOOKUP("k10+10",$I$2:$J$11,2,FALSE)+IFERROR(VLOOKUP(Karakterlap!$V$7,$A$24:$G$33,7,FALSE),0)</f>
        <v>16</v>
      </c>
      <c r="BG32" s="36">
        <f>VLOOKUP("3k6(2x)",$I$2:$J$11,2,FALSE)+IFERROR(VLOOKUP(Karakterlap!$V$7,$A$24:$H$33,8,FALSE),0)</f>
        <v>11</v>
      </c>
      <c r="BH32" s="36">
        <f>VLOOKUP("3k6(2x)",$I$2:$J$11,2,FALSE)+IFERROR(VLOOKUP(Karakterlap!$V$7,$A$24:$I$33,9,FALSE),0)</f>
        <v>11</v>
      </c>
      <c r="BI32" s="36">
        <f t="shared" si="0"/>
        <v>13</v>
      </c>
      <c r="BJ32" s="36">
        <f>VLOOKUP("3k6(2x)",$I$2:$J$11,2,FALSE)+IFERROR(VLOOKUP(Karakterlap!$V$7,$A$24:$J$33,10,FALSE),0)</f>
        <v>11</v>
      </c>
      <c r="BK32" s="36">
        <f t="shared" si="1"/>
        <v>13</v>
      </c>
      <c r="BL32" s="36">
        <f>IF((SUM(Karakterlap!$F$3:$F$12)-SUM(BB32:BK32))&lt;0,0,SUM(Karakterlap!$F$3:$F$12)-SUM(BB32:BK32))</f>
        <v>0</v>
      </c>
      <c r="BM32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32&gt;18,BI32,18))&gt;0,Karakterlap!$F$10-IF(BI32&gt;18,BI32,18),0),0)+IF(Karakterlap!$F$11&gt;(18+IFERROR(VLOOKUP(Karakterlap!$V$7,$A$24:$J$33,10,FALSE),0)),(Karakterlap!$F$11-(18+IFERROR(VLOOKUP(Karakterlap!$V$7,$A$24:$J$33,10,FALSE),0))),0)+IF(Karakterlap!$F$12&gt;18,IF((Karakterlap!$F$12-IF(BK32&gt;18,BK32,18))&gt;0,Karakterlap!$F$12-IF(BK32&gt;18,BK32,18),0),0)</f>
        <v>#VALUE!</v>
      </c>
      <c r="BN32" t="s">
        <v>977</v>
      </c>
      <c r="BO32" t="s">
        <v>977</v>
      </c>
      <c r="BP32" t="s">
        <v>977</v>
      </c>
      <c r="BQ32" t="s">
        <v>977</v>
      </c>
      <c r="BW32" s="5"/>
      <c r="BX32" s="97" t="s">
        <v>192</v>
      </c>
      <c r="BY32" s="97" t="s">
        <v>190</v>
      </c>
      <c r="BZ32" s="97" t="s">
        <v>189</v>
      </c>
      <c r="CA32" s="97" t="s">
        <v>189</v>
      </c>
      <c r="CB32" s="97" t="s">
        <v>193</v>
      </c>
      <c r="CC32" s="97" t="s">
        <v>187</v>
      </c>
      <c r="CD32" s="97" t="s">
        <v>187</v>
      </c>
      <c r="CE32" s="97" t="s">
        <v>189</v>
      </c>
      <c r="CF32" s="97" t="s">
        <v>187</v>
      </c>
      <c r="CG32" s="97" t="s">
        <v>189</v>
      </c>
    </row>
    <row r="33" spans="1:85" x14ac:dyDescent="0.2">
      <c r="A33" s="107" t="s">
        <v>184</v>
      </c>
      <c r="B33" s="99">
        <v>220</v>
      </c>
      <c r="C33" s="98">
        <v>1</v>
      </c>
      <c r="D33" s="98">
        <v>1</v>
      </c>
      <c r="E33" s="98"/>
      <c r="F33" s="98"/>
      <c r="G33" s="98"/>
      <c r="H33" s="98">
        <v>3</v>
      </c>
      <c r="I33" s="98"/>
      <c r="J33" s="98">
        <v>-1</v>
      </c>
      <c r="K33" s="108"/>
      <c r="L33" t="s">
        <v>738</v>
      </c>
      <c r="M33">
        <v>0</v>
      </c>
      <c r="N33">
        <v>161</v>
      </c>
      <c r="O33">
        <v>321</v>
      </c>
      <c r="P33">
        <v>641</v>
      </c>
      <c r="Q33">
        <v>1441</v>
      </c>
      <c r="R33">
        <v>2801</v>
      </c>
      <c r="S33">
        <v>5601</v>
      </c>
      <c r="T33">
        <v>10001</v>
      </c>
      <c r="U33">
        <v>20001</v>
      </c>
      <c r="V33">
        <v>40001</v>
      </c>
      <c r="W33">
        <v>60001</v>
      </c>
      <c r="X33">
        <v>80001</v>
      </c>
      <c r="Y33">
        <f>IFERROR(IF(VLOOKUP(L33,Karakterlap!$P$3:$Z$4,10,FALSE)&gt;13,112001+((VLOOKUP(L33,Karakterlap!$P$3:$Z$4,10,FALSE)-13)*31200),112001),112001)</f>
        <v>112001</v>
      </c>
      <c r="Z33">
        <v>9</v>
      </c>
      <c r="AA33">
        <v>20</v>
      </c>
      <c r="AB33">
        <v>75</v>
      </c>
      <c r="AC33">
        <v>0</v>
      </c>
      <c r="AD33">
        <f>IFERROR(VLOOKUP(L33,Karakterlap!$P$3:$Z$4,10,FALSE)*11,11)</f>
        <v>11</v>
      </c>
      <c r="AE33">
        <f>IFERROR(IF(Karakterlap!$P$5="Váltott kaszt",IF(Karakterlap!$P$3=Adattábla!$L33,Karakterlap!$Y$3*3,IF(Karakterlap!$P$4=Adattábla!$L33,(Karakterlap!$Y$4-Adattábla!$I$20)*3,3)),VLOOKUP(Adattábla!$L33,Karakterlap!$P$3:$Z$4,10,FALSE)*3),3)</f>
        <v>3</v>
      </c>
      <c r="AF33">
        <f>IFERROR(IF(Karakterlap!$P$5="Váltott kaszt",IF(Karakterlap!$P$3=Adattábla!$L33,Karakterlap!$Y$3*3,IF(Karakterlap!$P$4=Adattábla!$L33,(Karakterlap!$Y$4-Adattábla!$I$20)*3,3)),VLOOKUP(Adattábla!$L33,Karakterlap!$P$3:$Z$4,10,FALSE)*3),3)</f>
        <v>3</v>
      </c>
      <c r="AG33">
        <v>10</v>
      </c>
      <c r="AH33">
        <f>IF(Karakterlap!$P$5="Iker kaszt",IF(Karakterlap!$P$3=L33,IFERROR((Karakterlap!$P$6*10)+(VLOOKUP(L33,Karakterlap!$P$3:$Z$4,10,FALSE)-Karakterlap!$P$6),10),IF(Karakterlap!$P$4=L33,VLOOKUP(L33,Karakterlap!$P$3:$Z$4,10,FALSE),10)),IF(Karakterlap!$P$5="Váltott kaszt",IF(L33=Karakterlap!$P$3,(Karakterlap!$Y$3+3)*10,VLOOKUP(L33,Karakterlap!$P$3:$Z$4,10,FALSE)*10),IFERROR(VLOOKUP(L33,Karakterlap!$P$3:$Z$4,10,FALSE)*10,10)))</f>
        <v>10</v>
      </c>
      <c r="AI33">
        <v>0</v>
      </c>
      <c r="AJ33">
        <v>7</v>
      </c>
      <c r="AK33">
        <v>6</v>
      </c>
      <c r="AL33">
        <f>IFERROR(VLOOKUP(L33,Karakterlap!$P$3:$Z$4,10,FALSE)*($E$18+4),$E$18+4)</f>
        <v>10</v>
      </c>
      <c r="AN33" t="s">
        <v>98</v>
      </c>
      <c r="AQ33" s="14">
        <v>15</v>
      </c>
      <c r="AR33" s="14">
        <v>20</v>
      </c>
      <c r="AS33" s="14">
        <v>10</v>
      </c>
      <c r="BA33">
        <f>IFERROR(IF(Karakterlap!$P$6&gt;13,112001+((Karakterlap!$P$6-13)*31200),112001),112001)</f>
        <v>112001</v>
      </c>
      <c r="BB33" s="36">
        <f>VLOOKUP("k6+12",$I$2:$J$11,2,FALSE)+IFERROR(VLOOKUP(Karakterlap!$V$7,$A$24:$C$33,3,FALSE),0)</f>
        <v>16</v>
      </c>
      <c r="BC33" s="36">
        <f>VLOOKUP("k10+8",$I$2:$J$11,2,FALSE)+IFERROR(VLOOKUP(Karakterlap!$V$7,$A$24:$D$33,4,FALSE),0)</f>
        <v>14</v>
      </c>
      <c r="BD33" s="36">
        <f>VLOOKUP("2k6+6",$I$2:$J$11,2,FALSE)+IFERROR(VLOOKUP(Karakterlap!$V$7,$A$24:$E$33,5,FALSE),0)</f>
        <v>13</v>
      </c>
      <c r="BE33" s="36">
        <f>VLOOKUP("2k6+6",$I$2:$J$11,2,FALSE)+IFERROR(VLOOKUP(Karakterlap!$V$7,$A$24:$F$33,6,FALSE),0)</f>
        <v>13</v>
      </c>
      <c r="BF33" s="48">
        <f>VLOOKUP("k10+10",$I$2:$J$11,2,FALSE)+IFERROR(VLOOKUP(Karakterlap!$V$7,$A$24:$G$33,7,FALSE),0)</f>
        <v>16</v>
      </c>
      <c r="BG33" s="36">
        <f>VLOOKUP("3k6(2x)",$I$2:$J$11,2,FALSE)+IFERROR(VLOOKUP(Karakterlap!$V$7,$A$24:$H$33,8,FALSE),0)</f>
        <v>11</v>
      </c>
      <c r="BH33" s="36">
        <f>VLOOKUP("3k6(2x)",$I$2:$J$11,2,FALSE)+IFERROR(VLOOKUP(Karakterlap!$V$7,$A$24:$I$33,9,FALSE),0)</f>
        <v>11</v>
      </c>
      <c r="BI33" s="36">
        <f t="shared" si="0"/>
        <v>13</v>
      </c>
      <c r="BJ33" s="36">
        <f>VLOOKUP("3k6(2x)",$I$2:$J$11,2,FALSE)+IFERROR(VLOOKUP(Karakterlap!$V$7,$A$24:$J$33,10,FALSE),0)</f>
        <v>11</v>
      </c>
      <c r="BK33" s="36">
        <f t="shared" si="1"/>
        <v>13</v>
      </c>
      <c r="BL33" s="36">
        <f>IF((SUM(Karakterlap!$F$3:$F$12)-SUM(BB33:BK33))&lt;0,0,SUM(Karakterlap!$F$3:$F$12)-SUM(BB33:BK33))</f>
        <v>0</v>
      </c>
      <c r="BM33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33&gt;18,BI33,18))&gt;0,Karakterlap!$F$10-IF(BI33&gt;18,BI33,18),0),0)+IF(Karakterlap!$F$11&gt;(18+IFERROR(VLOOKUP(Karakterlap!$V$7,$A$24:$J$33,10,FALSE),0)),(Karakterlap!$F$11-(18+IFERROR(VLOOKUP(Karakterlap!$V$7,$A$24:$J$33,10,FALSE),0))),0)+IF(Karakterlap!$F$12&gt;18,IF((Karakterlap!$F$12-IF(BK33&gt;18,BK33,18))&gt;0,Karakterlap!$F$12-IF(BK33&gt;18,BK33,18),0),0)</f>
        <v>#VALUE!</v>
      </c>
      <c r="BN33" t="s">
        <v>977</v>
      </c>
      <c r="BO33" t="s">
        <v>977</v>
      </c>
      <c r="BP33" t="s">
        <v>977</v>
      </c>
      <c r="BQ33" t="s">
        <v>977</v>
      </c>
      <c r="BW33" s="5"/>
      <c r="BX33" s="97" t="s">
        <v>192</v>
      </c>
      <c r="BY33" s="97" t="s">
        <v>190</v>
      </c>
      <c r="BZ33" s="97" t="s">
        <v>189</v>
      </c>
      <c r="CA33" s="97" t="s">
        <v>189</v>
      </c>
      <c r="CB33" s="97" t="s">
        <v>193</v>
      </c>
      <c r="CC33" s="97" t="s">
        <v>187</v>
      </c>
      <c r="CD33" s="97" t="s">
        <v>187</v>
      </c>
      <c r="CE33" s="97" t="s">
        <v>189</v>
      </c>
      <c r="CF33" s="97" t="s">
        <v>187</v>
      </c>
      <c r="CG33" s="97" t="s">
        <v>189</v>
      </c>
    </row>
    <row r="34" spans="1:85" x14ac:dyDescent="0.2">
      <c r="A34" s="107"/>
      <c r="B34" s="98"/>
      <c r="C34" s="98"/>
      <c r="D34" s="98"/>
      <c r="E34" s="98"/>
      <c r="F34" s="98"/>
      <c r="G34" s="98"/>
      <c r="H34" s="98"/>
      <c r="I34" s="98"/>
      <c r="J34" s="98"/>
      <c r="K34" s="108"/>
      <c r="L34" t="s">
        <v>742</v>
      </c>
      <c r="M34">
        <v>0</v>
      </c>
      <c r="N34">
        <v>161</v>
      </c>
      <c r="O34">
        <v>321</v>
      </c>
      <c r="P34">
        <v>641</v>
      </c>
      <c r="Q34">
        <v>1441</v>
      </c>
      <c r="R34">
        <v>2801</v>
      </c>
      <c r="S34">
        <v>5601</v>
      </c>
      <c r="T34">
        <v>10001</v>
      </c>
      <c r="U34">
        <v>20001</v>
      </c>
      <c r="V34">
        <v>40001</v>
      </c>
      <c r="W34">
        <v>60001</v>
      </c>
      <c r="X34">
        <v>80001</v>
      </c>
      <c r="Y34">
        <f>IFERROR(IF(VLOOKUP(L34,Karakterlap!$P$3:$Z$4,10,FALSE)&gt;13,112001+((VLOOKUP(L34,Karakterlap!$P$3:$Z$4,10,FALSE)-13)*31200),112001),112001)</f>
        <v>112001</v>
      </c>
      <c r="Z34">
        <v>9</v>
      </c>
      <c r="AA34">
        <v>20</v>
      </c>
      <c r="AB34">
        <v>75</v>
      </c>
      <c r="AC34">
        <v>0</v>
      </c>
      <c r="AD34">
        <f>IFERROR(VLOOKUP(L34,Karakterlap!$P$3:$Z$4,10,FALSE)*11,11)</f>
        <v>11</v>
      </c>
      <c r="AE34">
        <f>IFERROR(IF(Karakterlap!$P$5="Váltott kaszt",IF(Karakterlap!$P$3=Adattábla!$L34,Karakterlap!$Y$3*3,IF(Karakterlap!$P$4=Adattábla!$L34,(Karakterlap!$Y$4-Adattábla!$I$20)*3,3)),VLOOKUP(Adattábla!$L34,Karakterlap!$P$3:$Z$4,10,FALSE)*3),3)</f>
        <v>3</v>
      </c>
      <c r="AF34">
        <f>IFERROR(IF(Karakterlap!$P$5="Váltott kaszt",IF(Karakterlap!$P$3=Adattábla!$L34,Karakterlap!$Y$3*3,IF(Karakterlap!$P$4=Adattábla!$L34,(Karakterlap!$Y$4-Adattábla!$I$20)*3,3)),VLOOKUP(Adattábla!$L34,Karakterlap!$P$3:$Z$4,10,FALSE)*3),3)</f>
        <v>3</v>
      </c>
      <c r="AG34">
        <v>10</v>
      </c>
      <c r="AH34">
        <f>IF(Karakterlap!$P$5="Iker kaszt",IF(Karakterlap!$P$3=L34,IFERROR((Karakterlap!$P$6*14)+(VLOOKUP(L34,Karakterlap!$P$3:$Z$4,10,FALSE)-Karakterlap!$P$6),14),IF(Karakterlap!$P$4=L34,VLOOKUP(L34,Karakterlap!$P$3:$Z$4,10,FALSE),14)),IF(Karakterlap!$P$5="Váltott kaszt",IF(L34=Karakterlap!$P$3,(Karakterlap!$Y$3+3)*14,VLOOKUP(L34,Karakterlap!$P$3:$Z$4,10,FALSE)*14),IFERROR(VLOOKUP(L34,Karakterlap!$P$3:$Z$4,10,FALSE)*14,14)))</f>
        <v>14</v>
      </c>
      <c r="AI34">
        <v>0</v>
      </c>
      <c r="AJ34">
        <v>7</v>
      </c>
      <c r="AK34">
        <v>6</v>
      </c>
      <c r="AL34">
        <f>IFERROR(VLOOKUP(L34,Karakterlap!$P$3:$Z$4,10,FALSE)*($E$18+4),$E$18+4)</f>
        <v>10</v>
      </c>
      <c r="AN34" t="s">
        <v>98</v>
      </c>
      <c r="AQ34" s="14">
        <v>15</v>
      </c>
      <c r="AR34" s="14">
        <v>20</v>
      </c>
      <c r="AS34" s="14">
        <v>10</v>
      </c>
      <c r="BA34">
        <f>IFERROR(IF(Karakterlap!$P$6&gt;13,112001+((Karakterlap!$P$6-13)*31200),112001),112001)</f>
        <v>112001</v>
      </c>
      <c r="BB34" s="36">
        <f>VLOOKUP("k6+12",$I$2:$J$11,2,FALSE)+IFERROR(VLOOKUP(Karakterlap!$V$7,$A$24:$C$33,3,FALSE),0)</f>
        <v>16</v>
      </c>
      <c r="BC34" s="36">
        <f>VLOOKUP("k10+8",$I$2:$J$11,2,FALSE)+IFERROR(VLOOKUP(Karakterlap!$V$7,$A$24:$D$33,4,FALSE),0)</f>
        <v>14</v>
      </c>
      <c r="BD34" s="36">
        <f>VLOOKUP("2k6+6",$I$2:$J$11,2,FALSE)+IFERROR(VLOOKUP(Karakterlap!$V$7,$A$24:$E$33,5,FALSE),0)</f>
        <v>13</v>
      </c>
      <c r="BE34" s="36">
        <f>VLOOKUP("2k6+6",$I$2:$J$11,2,FALSE)+IFERROR(VLOOKUP(Karakterlap!$V$7,$A$24:$F$33,6,FALSE),0)</f>
        <v>13</v>
      </c>
      <c r="BF34" s="48">
        <f>VLOOKUP("k10+10",$I$2:$J$11,2,FALSE)+IFERROR(VLOOKUP(Karakterlap!$V$7,$A$24:$G$33,7,FALSE),0)</f>
        <v>16</v>
      </c>
      <c r="BG34" s="36">
        <f>VLOOKUP("3k6(2x)",$I$2:$J$11,2,FALSE)+IFERROR(VLOOKUP(Karakterlap!$V$7,$A$24:$H$33,8,FALSE),0)</f>
        <v>11</v>
      </c>
      <c r="BH34" s="36">
        <f>VLOOKUP("3k6(2x)",$I$2:$J$11,2,FALSE)+IFERROR(VLOOKUP(Karakterlap!$V$7,$A$24:$I$33,9,FALSE),0)</f>
        <v>11</v>
      </c>
      <c r="BI34" s="36">
        <f t="shared" si="0"/>
        <v>13</v>
      </c>
      <c r="BJ34" s="36">
        <f>VLOOKUP("3k6(2x)",$I$2:$J$11,2,FALSE)+IFERROR(VLOOKUP(Karakterlap!$V$7,$A$24:$J$33,10,FALSE),0)</f>
        <v>11</v>
      </c>
      <c r="BK34" s="36">
        <f t="shared" si="1"/>
        <v>13</v>
      </c>
      <c r="BL34" s="36">
        <f>IF((SUM(Karakterlap!$F$3:$F$12)-SUM(BB34:BK34))&lt;0,0,SUM(Karakterlap!$F$3:$F$12)-SUM(BB34:BK34))</f>
        <v>0</v>
      </c>
      <c r="BM34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34&gt;18,BI34,18))&gt;0,Karakterlap!$F$10-IF(BI34&gt;18,BI34,18),0),0)+IF(Karakterlap!$F$11&gt;(18+IFERROR(VLOOKUP(Karakterlap!$V$7,$A$24:$J$33,10,FALSE),0)),(Karakterlap!$F$11-(18+IFERROR(VLOOKUP(Karakterlap!$V$7,$A$24:$J$33,10,FALSE),0))),0)+IF(Karakterlap!$F$12&gt;18,IF((Karakterlap!$F$12-IF(BK34&gt;18,BK34,18))&gt;0,Karakterlap!$F$12-IF(BK34&gt;18,BK34,18),0),0)</f>
        <v>#VALUE!</v>
      </c>
      <c r="BN34" t="s">
        <v>977</v>
      </c>
      <c r="BO34" t="s">
        <v>977</v>
      </c>
      <c r="BP34" t="s">
        <v>977</v>
      </c>
      <c r="BQ34" t="s">
        <v>977</v>
      </c>
      <c r="BW34" s="5"/>
      <c r="BX34" s="97" t="s">
        <v>192</v>
      </c>
      <c r="BY34" s="97" t="s">
        <v>190</v>
      </c>
      <c r="BZ34" s="97" t="s">
        <v>189</v>
      </c>
      <c r="CA34" s="97" t="s">
        <v>189</v>
      </c>
      <c r="CB34" s="97" t="s">
        <v>193</v>
      </c>
      <c r="CC34" s="97" t="s">
        <v>187</v>
      </c>
      <c r="CD34" s="97" t="s">
        <v>187</v>
      </c>
      <c r="CE34" s="97" t="s">
        <v>189</v>
      </c>
      <c r="CF34" s="97" t="s">
        <v>187</v>
      </c>
      <c r="CG34" s="97" t="s">
        <v>189</v>
      </c>
    </row>
    <row r="35" spans="1:85" x14ac:dyDescent="0.2">
      <c r="A35" s="107"/>
      <c r="B35" s="119" t="s">
        <v>172</v>
      </c>
      <c r="C35" s="98"/>
      <c r="D35" s="98"/>
      <c r="E35" s="98"/>
      <c r="F35" s="98"/>
      <c r="G35" s="98"/>
      <c r="H35" s="98"/>
      <c r="I35" s="98"/>
      <c r="J35" s="98"/>
      <c r="K35" s="108"/>
      <c r="L35" t="s">
        <v>743</v>
      </c>
      <c r="M35">
        <v>0</v>
      </c>
      <c r="N35">
        <v>161</v>
      </c>
      <c r="O35">
        <v>321</v>
      </c>
      <c r="P35">
        <v>641</v>
      </c>
      <c r="Q35">
        <v>1441</v>
      </c>
      <c r="R35">
        <v>2801</v>
      </c>
      <c r="S35">
        <v>5601</v>
      </c>
      <c r="T35">
        <v>10001</v>
      </c>
      <c r="U35">
        <v>20001</v>
      </c>
      <c r="V35">
        <v>40001</v>
      </c>
      <c r="W35">
        <v>60001</v>
      </c>
      <c r="X35">
        <v>80001</v>
      </c>
      <c r="Y35">
        <f>IFERROR(IF(VLOOKUP(L35,Karakterlap!$P$3:$Z$4,10,FALSE)&gt;13,112001+((VLOOKUP(L35,Karakterlap!$P$3:$Z$4,10,FALSE)-13)*31200),112001),112001)</f>
        <v>112001</v>
      </c>
      <c r="Z35">
        <v>9</v>
      </c>
      <c r="AA35">
        <v>20</v>
      </c>
      <c r="AB35">
        <v>75</v>
      </c>
      <c r="AC35">
        <v>0</v>
      </c>
      <c r="AD35">
        <f>IFERROR(VLOOKUP(L35,Karakterlap!$P$3:$Z$4,10,FALSE)*11,11)</f>
        <v>11</v>
      </c>
      <c r="AE35">
        <f>IFERROR(IF(Karakterlap!$P$5="Váltott kaszt",IF(Karakterlap!$P$3=Adattábla!$L35,Karakterlap!$Y$3*3,IF(Karakterlap!$P$4=Adattábla!$L35,(Karakterlap!$Y$4-Adattábla!$I$20)*3,3)),VLOOKUP(Adattábla!$L35,Karakterlap!$P$3:$Z$4,10,FALSE)*3),3)</f>
        <v>3</v>
      </c>
      <c r="AF35">
        <f>IFERROR(IF(Karakterlap!$P$5="Váltott kaszt",IF(Karakterlap!$P$3=Adattábla!$L35,Karakterlap!$Y$3*3,IF(Karakterlap!$P$4=Adattábla!$L35,(Karakterlap!$Y$4-Adattábla!$I$20)*3,3)),VLOOKUP(Adattábla!$L35,Karakterlap!$P$3:$Z$4,10,FALSE)*3),3)</f>
        <v>3</v>
      </c>
      <c r="AG35">
        <v>6</v>
      </c>
      <c r="AH35">
        <f>IF(Karakterlap!$P$5="Iker kaszt",IF(Karakterlap!$P$3=L35,IFERROR((Karakterlap!$P$6*8)+(VLOOKUP(L35,Karakterlap!$P$3:$Z$4,10,FALSE)-Karakterlap!$P$6),8),IF(Karakterlap!$P$4=L35,VLOOKUP(L35,Karakterlap!$P$3:$Z$4,10,FALSE),8)),IF(Karakterlap!$P$5="Váltott kaszt",IF(L35=Karakterlap!$P$3,(Karakterlap!$Y$3+3)*8,VLOOKUP(L35,Karakterlap!$P$3:$Z$4,10,FALSE)*8),IFERROR(VLOOKUP(L35,Karakterlap!$P$3:$Z$4,10,FALSE)*8,8)))</f>
        <v>8</v>
      </c>
      <c r="AI35">
        <v>0</v>
      </c>
      <c r="AJ35">
        <v>7</v>
      </c>
      <c r="AK35">
        <v>6</v>
      </c>
      <c r="AL35">
        <f>IFERROR(VLOOKUP(L35,Karakterlap!$P$3:$Z$4,10,FALSE)*($E$18+4),$E$18+4)</f>
        <v>10</v>
      </c>
      <c r="AN35" t="s">
        <v>98</v>
      </c>
      <c r="AQ35" s="14">
        <v>15</v>
      </c>
      <c r="AR35" s="14">
        <v>20</v>
      </c>
      <c r="AS35" s="14">
        <v>10</v>
      </c>
      <c r="BA35">
        <f>IFERROR(IF(Karakterlap!$P$6&gt;13,112001+((Karakterlap!$P$6-13)*31200),112001),112001)</f>
        <v>112001</v>
      </c>
      <c r="BB35" s="36">
        <f>VLOOKUP("k6+12",$I$2:$J$11,2,FALSE)+IFERROR(VLOOKUP(Karakterlap!$V$7,$A$24:$C$33,3,FALSE),0)</f>
        <v>16</v>
      </c>
      <c r="BC35" s="36">
        <f>VLOOKUP("k10+8",$I$2:$J$11,2,FALSE)+IFERROR(VLOOKUP(Karakterlap!$V$7,$A$24:$D$33,4,FALSE),0)</f>
        <v>14</v>
      </c>
      <c r="BD35" s="36">
        <f>VLOOKUP("2k6+6",$I$2:$J$11,2,FALSE)+IFERROR(VLOOKUP(Karakterlap!$V$7,$A$24:$E$33,5,FALSE),0)</f>
        <v>13</v>
      </c>
      <c r="BE35" s="36">
        <f>VLOOKUP("2k6+6",$I$2:$J$11,2,FALSE)+IFERROR(VLOOKUP(Karakterlap!$V$7,$A$24:$F$33,6,FALSE),0)</f>
        <v>13</v>
      </c>
      <c r="BF35" s="48">
        <f>VLOOKUP("k10+10",$I$2:$J$11,2,FALSE)+IFERROR(VLOOKUP(Karakterlap!$V$7,$A$24:$G$33,7,FALSE),0)</f>
        <v>16</v>
      </c>
      <c r="BG35" s="36">
        <f>VLOOKUP("3k6(2x)",$I$2:$J$11,2,FALSE)+IFERROR(VLOOKUP(Karakterlap!$V$7,$A$24:$H$33,8,FALSE),0)</f>
        <v>11</v>
      </c>
      <c r="BH35" s="36">
        <f>VLOOKUP("3k6(2x)",$I$2:$J$11,2,FALSE)+IFERROR(VLOOKUP(Karakterlap!$V$7,$A$24:$I$33,9,FALSE),0)</f>
        <v>11</v>
      </c>
      <c r="BI35" s="36">
        <f t="shared" si="0"/>
        <v>13</v>
      </c>
      <c r="BJ35" s="36">
        <f>VLOOKUP("3k6(2x)",$I$2:$J$11,2,FALSE)+IFERROR(VLOOKUP(Karakterlap!$V$7,$A$24:$J$33,10,FALSE),0)</f>
        <v>11</v>
      </c>
      <c r="BK35" s="36">
        <f t="shared" si="1"/>
        <v>13</v>
      </c>
      <c r="BL35" s="36">
        <f>IF((SUM(Karakterlap!$F$3:$F$12)-SUM(BB35:BK35))&lt;0,0,SUM(Karakterlap!$F$3:$F$12)-SUM(BB35:BK35))</f>
        <v>0</v>
      </c>
      <c r="BM35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35&gt;18,BI35,18))&gt;0,Karakterlap!$F$10-IF(BI35&gt;18,BI35,18),0),0)+IF(Karakterlap!$F$11&gt;(18+IFERROR(VLOOKUP(Karakterlap!$V$7,$A$24:$J$33,10,FALSE),0)),(Karakterlap!$F$11-(18+IFERROR(VLOOKUP(Karakterlap!$V$7,$A$24:$J$33,10,FALSE),0))),0)+IF(Karakterlap!$F$12&gt;18,IF((Karakterlap!$F$12-IF(BK35&gt;18,BK35,18))&gt;0,Karakterlap!$F$12-IF(BK35&gt;18,BK35,18),0),0)</f>
        <v>#VALUE!</v>
      </c>
      <c r="BN35" t="s">
        <v>977</v>
      </c>
      <c r="BO35" t="s">
        <v>977</v>
      </c>
      <c r="BP35" t="s">
        <v>977</v>
      </c>
      <c r="BQ35" t="s">
        <v>977</v>
      </c>
      <c r="BW35" s="5"/>
      <c r="BX35" s="97" t="s">
        <v>192</v>
      </c>
      <c r="BY35" s="97" t="s">
        <v>190</v>
      </c>
      <c r="BZ35" s="97" t="s">
        <v>189</v>
      </c>
      <c r="CA35" s="97" t="s">
        <v>189</v>
      </c>
      <c r="CB35" s="97" t="s">
        <v>193</v>
      </c>
      <c r="CC35" s="97" t="s">
        <v>187</v>
      </c>
      <c r="CD35" s="97" t="s">
        <v>187</v>
      </c>
      <c r="CE35" s="97" t="s">
        <v>189</v>
      </c>
      <c r="CF35" s="97" t="s">
        <v>187</v>
      </c>
      <c r="CG35" s="97" t="s">
        <v>189</v>
      </c>
    </row>
    <row r="36" spans="1:85" x14ac:dyDescent="0.2">
      <c r="A36" s="112" t="s">
        <v>980</v>
      </c>
      <c r="B36" s="98">
        <f>IFERROR(VLOOKUP(VLOOKUP(Karakterlap!$P$3,Adattábla!$L:$CG,74,FALSE),$F$40:$H$49,2,FALSE),0)</f>
        <v>0</v>
      </c>
      <c r="C36" s="98">
        <f>IFERROR(VLOOKUP(VLOOKUP(Karakterlap!$P$3,Adattábla!$L:$CG,65,FALSE),$F$40:$H$49,2,FALSE),0)</f>
        <v>0</v>
      </c>
      <c r="D36" s="98">
        <f>IFERROR(VLOOKUP(VLOOKUP(Karakterlap!$P$3,Adattábla!$L:$CG,66,FALSE),$F$40:$H$49,2,FALSE),0)</f>
        <v>0</v>
      </c>
      <c r="E36" s="98">
        <f>IFERROR(VLOOKUP(VLOOKUP(Karakterlap!$P$3,Adattábla!$L:$CG,67,FALSE),$F$40:$H$49,2,FALSE),0)</f>
        <v>0</v>
      </c>
      <c r="F36" s="98">
        <f>IFERROR(VLOOKUP(VLOOKUP(Karakterlap!$P$3,Adattábla!$L:$CG,68,FALSE),$F$40:$H$49,2,FALSE),0)</f>
        <v>0</v>
      </c>
      <c r="G36" s="98">
        <f>IFERROR(VLOOKUP(VLOOKUP(Karakterlap!$P$3,Adattábla!$L:$CG,69,FALSE),$F$40:$H$49,2,FALSE),0)</f>
        <v>0</v>
      </c>
      <c r="H36" s="98">
        <f>IFERROR(VLOOKUP(VLOOKUP(Karakterlap!$P$3,Adattábla!$L:$CG,70,FALSE),$F$40:$H$49,2,FALSE),0)</f>
        <v>0</v>
      </c>
      <c r="I36" s="98">
        <f>IFERROR(VLOOKUP(VLOOKUP(Karakterlap!$P$3,Adattábla!$L:$CG,71,FALSE),$F$40:$H$49,2,FALSE),0)</f>
        <v>0</v>
      </c>
      <c r="J36" s="98">
        <f>IFERROR(VLOOKUP(VLOOKUP(Karakterlap!$P$3,Adattábla!$L:$CG,73,FALSE),$F$40:$H$49,2,FALSE),0)</f>
        <v>0</v>
      </c>
      <c r="K36" s="108">
        <f>IFERROR(VLOOKUP(VLOOKUP(Karakterlap!$P$3,Adattábla!$L:$CG,72,FALSE),$F$40:$H$49,2,FALSE),0)</f>
        <v>0</v>
      </c>
      <c r="L36" t="s">
        <v>744</v>
      </c>
      <c r="M36">
        <v>0</v>
      </c>
      <c r="N36">
        <v>161</v>
      </c>
      <c r="O36">
        <v>321</v>
      </c>
      <c r="P36">
        <v>641</v>
      </c>
      <c r="Q36">
        <v>1441</v>
      </c>
      <c r="R36">
        <v>2801</v>
      </c>
      <c r="S36">
        <v>5601</v>
      </c>
      <c r="T36">
        <v>10001</v>
      </c>
      <c r="U36">
        <v>20001</v>
      </c>
      <c r="V36">
        <v>40001</v>
      </c>
      <c r="W36">
        <v>60001</v>
      </c>
      <c r="X36">
        <v>80001</v>
      </c>
      <c r="Y36">
        <f>IFERROR(IF(VLOOKUP(L36,Karakterlap!$P$3:$Z$4,10,FALSE)&gt;13,112001+((VLOOKUP(L36,Karakterlap!$P$3:$Z$4,10,FALSE)-13)*31200),112001),112001)</f>
        <v>112001</v>
      </c>
      <c r="Z36">
        <v>9</v>
      </c>
      <c r="AA36">
        <v>20</v>
      </c>
      <c r="AB36">
        <v>75</v>
      </c>
      <c r="AC36">
        <v>25</v>
      </c>
      <c r="AD36">
        <f>IFERROR(VLOOKUP(L36,Karakterlap!$P$3:$Z$4,10,FALSE)*11,11)</f>
        <v>11</v>
      </c>
      <c r="AE36">
        <f>IFERROR(IF(Karakterlap!$P$5="Váltott kaszt",IF(Karakterlap!$P$3=Adattábla!$L36,Karakterlap!$Y$3*3,IF(Karakterlap!$P$4=Adattábla!$L36,(Karakterlap!$Y$4-Adattábla!$I$20)*3,3)),VLOOKUP(Adattábla!$L36,Karakterlap!$P$3:$Z$4,10,FALSE)*3),3)</f>
        <v>3</v>
      </c>
      <c r="AF36">
        <f>IFERROR(IF(Karakterlap!$P$5="Váltott kaszt",IF(Karakterlap!$P$3=Adattábla!$L36,Karakterlap!$Y$3*3,IF(Karakterlap!$P$4=Adattábla!$L36,(Karakterlap!$Y$4-Adattábla!$I$20)*3,3)),VLOOKUP(Adattábla!$L36,Karakterlap!$P$3:$Z$4,10,FALSE)*3),3)</f>
        <v>3</v>
      </c>
      <c r="AG36">
        <v>5</v>
      </c>
      <c r="AH36">
        <f>IF(Karakterlap!$P$5="Iker kaszt",IF(Karakterlap!$P$3=L36,IFERROR((Karakterlap!$P$6*7)+(VLOOKUP(L36,Karakterlap!$P$3:$Z$4,10,FALSE)-Karakterlap!$P$6),7),IF(Karakterlap!$P$4=L36,VLOOKUP(L36,Karakterlap!$P$3:$Z$4,10,FALSE),7)),IF(Karakterlap!$P$5="Váltott kaszt",IF(L36=Karakterlap!$P$3,(Karakterlap!$Y$3+3)*7,VLOOKUP(L36,Karakterlap!$P$3:$Z$4,10,FALSE)*7),IFERROR(VLOOKUP(L36,Karakterlap!$P$3:$Z$4,10,FALSE)*7,7)))</f>
        <v>7</v>
      </c>
      <c r="AI36">
        <v>0</v>
      </c>
      <c r="AJ36">
        <v>7</v>
      </c>
      <c r="AK36">
        <v>6</v>
      </c>
      <c r="AL36">
        <f>IFERROR(VLOOKUP(L36,Karakterlap!$P$3:$Z$4,10,FALSE)*($E$18+4),$E$18+4)</f>
        <v>10</v>
      </c>
      <c r="AN36" t="s">
        <v>98</v>
      </c>
      <c r="AQ36" s="14">
        <v>15</v>
      </c>
      <c r="AR36" s="14">
        <v>20</v>
      </c>
      <c r="AS36" s="14">
        <v>10</v>
      </c>
      <c r="BA36">
        <f>IFERROR(IF(Karakterlap!$P$6&gt;13,112001+((Karakterlap!$P$6-13)*31200),112001),112001)</f>
        <v>112001</v>
      </c>
      <c r="BB36" s="36">
        <f>VLOOKUP("k6+12",$I$2:$J$11,2,FALSE)+IFERROR(VLOOKUP(Karakterlap!$V$7,$A$24:$C$33,3,FALSE),0)</f>
        <v>16</v>
      </c>
      <c r="BC36" s="36">
        <f>VLOOKUP("k10+8",$I$2:$J$11,2,FALSE)+IFERROR(VLOOKUP(Karakterlap!$V$7,$A$24:$D$33,4,FALSE),0)</f>
        <v>14</v>
      </c>
      <c r="BD36" s="36">
        <f>VLOOKUP("2k6+6",$I$2:$J$11,2,FALSE)+IFERROR(VLOOKUP(Karakterlap!$V$7,$A$24:$E$33,5,FALSE),0)</f>
        <v>13</v>
      </c>
      <c r="BE36" s="36">
        <f>VLOOKUP("2k6+6",$I$2:$J$11,2,FALSE)+IFERROR(VLOOKUP(Karakterlap!$V$7,$A$24:$F$33,6,FALSE),0)</f>
        <v>13</v>
      </c>
      <c r="BF36" s="48">
        <f>VLOOKUP("k10+10",$I$2:$J$11,2,FALSE)+IFERROR(VLOOKUP(Karakterlap!$V$7,$A$24:$G$33,7,FALSE),0)</f>
        <v>16</v>
      </c>
      <c r="BG36" s="36">
        <f>VLOOKUP("3k6(2x)",$I$2:$J$11,2,FALSE)+IFERROR(VLOOKUP(Karakterlap!$V$7,$A$24:$H$33,8,FALSE),0)</f>
        <v>11</v>
      </c>
      <c r="BH36" s="36">
        <f>VLOOKUP("3k6(2x)",$I$2:$J$11,2,FALSE)+IFERROR(VLOOKUP(Karakterlap!$V$7,$A$24:$I$33,9,FALSE),0)</f>
        <v>11</v>
      </c>
      <c r="BI36" s="36">
        <f t="shared" si="0"/>
        <v>13</v>
      </c>
      <c r="BJ36" s="36">
        <f>VLOOKUP("3k6(2x)",$I$2:$J$11,2,FALSE)+IFERROR(VLOOKUP(Karakterlap!$V$7,$A$24:$J$33,10,FALSE),0)</f>
        <v>11</v>
      </c>
      <c r="BK36" s="36">
        <f t="shared" si="1"/>
        <v>13</v>
      </c>
      <c r="BL36" s="36">
        <f>IF((SUM(Karakterlap!$F$3:$F$12)-SUM(BB36:BK36))&lt;0,0,SUM(Karakterlap!$F$3:$F$12)-SUM(BB36:BK36))</f>
        <v>0</v>
      </c>
      <c r="BM36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36&gt;18,BI36,18))&gt;0,Karakterlap!$F$10-IF(BI36&gt;18,BI36,18),0),0)+IF(Karakterlap!$F$11&gt;(18+IFERROR(VLOOKUP(Karakterlap!$V$7,$A$24:$J$33,10,FALSE),0)),(Karakterlap!$F$11-(18+IFERROR(VLOOKUP(Karakterlap!$V$7,$A$24:$J$33,10,FALSE),0))),0)+IF(Karakterlap!$F$12&gt;18,IF((Karakterlap!$F$12-IF(BK36&gt;18,BK36,18))&gt;0,Karakterlap!$F$12-IF(BK36&gt;18,BK36,18),0),0)</f>
        <v>#VALUE!</v>
      </c>
      <c r="BN36" t="s">
        <v>977</v>
      </c>
      <c r="BO36" t="s">
        <v>977</v>
      </c>
      <c r="BP36" t="s">
        <v>977</v>
      </c>
      <c r="BQ36" t="s">
        <v>977</v>
      </c>
      <c r="BW36" s="5"/>
      <c r="BX36" s="97" t="s">
        <v>192</v>
      </c>
      <c r="BY36" s="97" t="s">
        <v>190</v>
      </c>
      <c r="BZ36" s="97" t="s">
        <v>189</v>
      </c>
      <c r="CA36" s="97" t="s">
        <v>189</v>
      </c>
      <c r="CB36" s="97" t="s">
        <v>193</v>
      </c>
      <c r="CC36" s="97" t="s">
        <v>187</v>
      </c>
      <c r="CD36" s="97" t="s">
        <v>187</v>
      </c>
      <c r="CE36" s="97" t="s">
        <v>189</v>
      </c>
      <c r="CF36" s="97" t="s">
        <v>187</v>
      </c>
      <c r="CG36" s="97" t="s">
        <v>189</v>
      </c>
    </row>
    <row r="37" spans="1:85" ht="16" thickBot="1" x14ac:dyDescent="0.25">
      <c r="A37" s="111" t="s">
        <v>974</v>
      </c>
      <c r="B37" s="109" t="e">
        <f>IF((IFERROR(VLOOKUP(VLOOKUP(Karakterlap!$P$3,Adattábla!$L:$CG,74,FALSE),$F$40:$H$49,3,FALSE),20)+IF(VLOOKUP(Karakterlap!$P$3,Adattábla!$L:$BW,64,FALSE)="kf",2,0))&lt;IFERROR(VLOOKUP(Karakterlap!$V$7,$A$72:$J$81,2,FALSE),20),(IFERROR(VLOOKUP(VLOOKUP(Karakterlap!$P$3,Adattábla!$L:$CG,74,FALSE),$F$40:$H$49,3,FALSE),20)+IF(VLOOKUP(Karakterlap!$P$3,Adattábla!$L:$BW,64,FALSE)="kf",2,0)),IFERROR(VLOOKUP(Karakterlap!$V$7,$A$72:$J$81,2,FALSE),20))</f>
        <v>#N/A</v>
      </c>
      <c r="C37" s="109" t="e">
        <f>IF((IFERROR(VLOOKUP(VLOOKUP(Karakterlap!$P$3,Adattábla!$L:$CG,65,FALSE),$F$40:$H$49,3,FALSE),20)+IF(VLOOKUP(Karakterlap!$P$3,Adattábla!$L:$BW,55,FALSE)="kf",2,0)+VLOOKUP(Karakterlap!$V$7,Adattábla!$A$24:$J$33,3,FALSE))&lt;IFERROR(VLOOKUP(Karakterlap!$V$7,$A$72:$J$81,3,FALSE),20),(IFERROR(VLOOKUP(VLOOKUP(Karakterlap!$P$3,Adattábla!$L:$CG,65,FALSE),$F$40:$H$49,3,FALSE),20)+IF(VLOOKUP(Karakterlap!$P$3,Adattábla!$L:$BW,55,FALSE)="kf",2,0)+VLOOKUP(Karakterlap!$V$7,Adattábla!$A$24:$J$33,3,FALSE)),IFERROR(VLOOKUP(Karakterlap!$V$7,$A$72:$J$81,3,FALSE),20))</f>
        <v>#N/A</v>
      </c>
      <c r="D37" s="109" t="e">
        <f>IF((IFERROR(VLOOKUP(VLOOKUP(Karakterlap!$P$3,Adattábla!$L:$CG,66,FALSE),$F$40:$H$49,3,FALSE),20)+IF(VLOOKUP(Karakterlap!$P$3,Adattábla!$L:$BW,56,FALSE)="kf",2,0)+VLOOKUP(Karakterlap!$V$7,Adattábla!$A$24:$J$33,4,FALSE))&lt;IFERROR(VLOOKUP(Karakterlap!$V$7,$A$72:$J$81,4,FALSE),20),(IFERROR(VLOOKUP(VLOOKUP(Karakterlap!$P$3,Adattábla!$L:$CG,66,FALSE),$F$40:$H$49,3,FALSE),20)+IF(VLOOKUP(Karakterlap!$P$3,Adattábla!$L:$BW,56,FALSE)="kf",2,0)+VLOOKUP(Karakterlap!$V$7,Adattábla!$A$24:$J$33,4,FALSE)),IFERROR(VLOOKUP(Karakterlap!$V$7,$A$72:$J$81,4,FALSE),20))</f>
        <v>#N/A</v>
      </c>
      <c r="E37" s="109" t="e">
        <f>IF((IFERROR(VLOOKUP(VLOOKUP(Karakterlap!$P$3,Adattábla!$L:$CG,67,FALSE),$F$40:$H$49,3,FALSE),20)+IF(VLOOKUP(Karakterlap!$P$3,Adattábla!$L:$BW,57,FALSE)="kf",2,0)+VLOOKUP(Karakterlap!$V$7,Adattábla!$A$24:$J$33,5,FALSE))&lt;IFERROR(VLOOKUP(Karakterlap!$V$7,$A$72:$J$81,5,FALSE),20),(IFERROR(VLOOKUP(VLOOKUP(Karakterlap!$P$3,Adattábla!$L:$CG,67,FALSE),$F$40:$H$49,3,FALSE),20)+IF(VLOOKUP(Karakterlap!$P$3,Adattábla!$L:$BW,57,FALSE)="kf",2,0)+VLOOKUP(Karakterlap!$V$7,Adattábla!$A$24:$J$33,5,FALSE)),IFERROR(VLOOKUP(Karakterlap!$V$7,$A$72:$J$81,5,FALSE),20))</f>
        <v>#N/A</v>
      </c>
      <c r="F37" s="109" t="e">
        <f>IF((IFERROR(VLOOKUP(VLOOKUP(Karakterlap!$P$3,Adattábla!$L:$CG,68,FALSE),$F$40:$H$49,3,FALSE),20)+IF(VLOOKUP(Karakterlap!$P$3,Adattábla!$L:$BW,58,FALSE)="kf",2,0)+VLOOKUP(Karakterlap!$V$7,Adattábla!$A$24:$J$33,6,FALSE))&lt;IFERROR(VLOOKUP(Karakterlap!$V$7,$A$72:$J$81,6,FALSE),20),(IFERROR(VLOOKUP(VLOOKUP(Karakterlap!$P$3,Adattábla!$L:$CG,68,FALSE),$F$40:$H$49,3,FALSE),20)+IF(VLOOKUP(Karakterlap!$P$3,Adattábla!$L:$BW,58,FALSE)="kf",2,0)+VLOOKUP(Karakterlap!$V$7,Adattábla!$A$24:$J$33,6,FALSE)),IFERROR(VLOOKUP(Karakterlap!$V$7,$A$72:$J$81,6,FALSE),20))</f>
        <v>#N/A</v>
      </c>
      <c r="G37" s="109" t="e">
        <f>IF((IFERROR(VLOOKUP(VLOOKUP(Karakterlap!$P$3,Adattábla!$L:$CG,69,FALSE),$F$40:$H$49,3,FALSE),20)+IF(VLOOKUP(Karakterlap!$P$3,Adattábla!$L:$BW,59,FALSE)="kf",2,0)+VLOOKUP(Karakterlap!$V$7,Adattábla!$A$24:$J$33,7,FALSE))&lt;IFERROR(VLOOKUP(Karakterlap!$V$7,$A$72:$J$81,7,FALSE),20),(IFERROR(VLOOKUP(VLOOKUP(Karakterlap!$P$3,Adattábla!$L:$CG,69,FALSE),$F$40:$H$49,3,FALSE),20)+IF(VLOOKUP(Karakterlap!$P$3,Adattábla!$L:$BW,59,FALSE)="kf",2,0)+VLOOKUP(Karakterlap!$V$7,Adattábla!$A$24:$J$33,7,FALSE)),IFERROR(VLOOKUP(Karakterlap!$V$7,$A$72:$J$81,7,FALSE),20))</f>
        <v>#N/A</v>
      </c>
      <c r="H37" s="109" t="e">
        <f>IF((IFERROR(VLOOKUP(VLOOKUP(Karakterlap!$P$3,Adattábla!$L:$CG,70,FALSE),$F$40:$H$49,3,FALSE),20)+IF(VLOOKUP(Karakterlap!$P$3,Adattábla!$L:$BW,60,FALSE)="kf",2,0)+VLOOKUP(Karakterlap!$V$7,Adattábla!$A$24:$J$33,8,FALSE))&lt;IFERROR(VLOOKUP(Karakterlap!$V$7,$A$72:$J$81,8,FALSE),20),(IFERROR(VLOOKUP(VLOOKUP(Karakterlap!$P$3,Adattábla!$L:$CG,70,FALSE),$F$40:$H$49,3,FALSE),20)+IF(VLOOKUP(Karakterlap!$P$3,Adattábla!$L:$BW,60,FALSE)="kf",2,0)+VLOOKUP(Karakterlap!$V$7,Adattábla!$A$24:$J$33,8,FALSE)),IFERROR(VLOOKUP(Karakterlap!$V$7,$A$72:$J$81,8,FALSE),20))</f>
        <v>#N/A</v>
      </c>
      <c r="I37" s="109" t="e">
        <f>IF((IFERROR(VLOOKUP(VLOOKUP(Karakterlap!$P$3,Adattábla!$L:$CG,71,FALSE),$F$40:$H$49,3,FALSE),20)+IF(VLOOKUP(Karakterlap!$P$3,Adattábla!$L:$BW,61,FALSE)="kf",2,0)+VLOOKUP(Karakterlap!$V$7,Adattábla!$A$24:$J$33,9,FALSE))&lt;IFERROR(VLOOKUP(Karakterlap!$V$7,$A$72:$J$81,9,FALSE),20),(IFERROR(VLOOKUP(VLOOKUP(Karakterlap!$P$3,Adattábla!$L:$CG,71,FALSE),$F$40:$H$49,3,FALSE),20)+IF(VLOOKUP(Karakterlap!$P$3,Adattábla!$L:$BW,61,FALSE)="kf",2,0)+VLOOKUP(Karakterlap!$V$7,Adattábla!$A$24:$J$33,9,FALSE)),IFERROR(VLOOKUP(Karakterlap!$V$7,$A$72:$J$81,9,FALSE),20))</f>
        <v>#N/A</v>
      </c>
      <c r="J37" s="109" t="e">
        <f>IF((IFERROR(VLOOKUP(VLOOKUP(Karakterlap!$P$3,Adattábla!$L:$CG,73,FALSE),$F$40:$H$49,3,FALSE),20)+IF(VLOOKUP(Karakterlap!$P$3,Adattábla!$L:$BW,63,FALSE)="kf",2,0)+VLOOKUP(Karakterlap!$V$7,Adattábla!$A$24:$J$33,10,FALSE))&lt;IFERROR(VLOOKUP(Karakterlap!$V$7,$A$72:$J$81,10,FALSE),20),(IFERROR(VLOOKUP(VLOOKUP(Karakterlap!$P$3,Adattábla!$L:$CG,73,FALSE),$F$40:$H$49,3,FALSE),20)+IF(VLOOKUP(Karakterlap!$P$3,Adattábla!$L:$BW,63,FALSE)="kf",2,0)+VLOOKUP(Karakterlap!$V$7,Adattábla!$A$24:$J$33,10,FALSE)),IFERROR(VLOOKUP(Karakterlap!$V$7,$A$72:$J$81,10,FALSE),20))</f>
        <v>#N/A</v>
      </c>
      <c r="K37" s="110" t="e">
        <f>IF((IFERROR(VLOOKUP(VLOOKUP(Karakterlap!$P$3,Adattábla!$L:$CG,72,FALSE),$F$40:$H$49,3,FALSE),20)+IF(VLOOKUP(Karakterlap!$P$3,Adattábla!$L:$BW,62,FALSE)="kf",2,0))&lt;IFERROR(VLOOKUP(Karakterlap!$V$7,$A$72:$J$81,11,FALSE),20),(IFERROR(VLOOKUP(VLOOKUP(Karakterlap!$P$3,Adattábla!$L:$CG,72,FALSE),$F$40:$H$49,3,FALSE),20)+IF(VLOOKUP(Karakterlap!$P$3,Adattábla!$L:$BW,62,FALSE)="kf",2,0)),IFERROR(VLOOKUP(Karakterlap!$V$7,$A$72:$J$81,11,FALSE),20))</f>
        <v>#N/A</v>
      </c>
      <c r="L37" t="s">
        <v>745</v>
      </c>
      <c r="M37">
        <v>0</v>
      </c>
      <c r="N37">
        <v>161</v>
      </c>
      <c r="O37">
        <v>321</v>
      </c>
      <c r="P37">
        <v>641</v>
      </c>
      <c r="Q37">
        <v>1441</v>
      </c>
      <c r="R37">
        <v>2801</v>
      </c>
      <c r="S37">
        <v>5601</v>
      </c>
      <c r="T37">
        <v>10001</v>
      </c>
      <c r="U37">
        <v>20001</v>
      </c>
      <c r="V37">
        <v>40001</v>
      </c>
      <c r="W37">
        <v>60001</v>
      </c>
      <c r="X37">
        <v>80001</v>
      </c>
      <c r="Y37">
        <f>IFERROR(IF(VLOOKUP(L37,Karakterlap!$P$3:$Z$4,10,FALSE)&gt;13,112001+((VLOOKUP(L37,Karakterlap!$P$3:$Z$4,10,FALSE)-13)*31200),112001),112001)</f>
        <v>112001</v>
      </c>
      <c r="Z37">
        <v>9</v>
      </c>
      <c r="AA37">
        <v>20</v>
      </c>
      <c r="AB37">
        <v>75</v>
      </c>
      <c r="AC37">
        <v>0</v>
      </c>
      <c r="AD37">
        <f>IFERROR(VLOOKUP(L37,Karakterlap!$P$3:$Z$4,10,FALSE)*11,11)</f>
        <v>11</v>
      </c>
      <c r="AE37">
        <f>IFERROR(IF(Karakterlap!$P$5="Váltott kaszt",IF(Karakterlap!$P$3=Adattábla!$L37,Karakterlap!$Y$3*3,IF(Karakterlap!$P$4=Adattábla!$L37,(Karakterlap!$Y$4-Adattábla!$I$20)*3,3)),VLOOKUP(Adattábla!$L37,Karakterlap!$P$3:$Z$4,10,FALSE)*3),3)</f>
        <v>3</v>
      </c>
      <c r="AF37">
        <f>IFERROR(IF(Karakterlap!$P$5="Váltott kaszt",IF(Karakterlap!$P$3=Adattábla!$L37,Karakterlap!$Y$3*3,IF(Karakterlap!$P$4=Adattábla!$L37,(Karakterlap!$Y$4-Adattábla!$I$20)*3,3)),VLOOKUP(Adattábla!$L37,Karakterlap!$P$3:$Z$4,10,FALSE)*3),3)</f>
        <v>3</v>
      </c>
      <c r="AG37">
        <v>10</v>
      </c>
      <c r="AH37">
        <f>IF(Karakterlap!$P$5="Iker kaszt",IF(Karakterlap!$P$3=L37,IFERROR((Karakterlap!$P$6*14)+(VLOOKUP(L37,Karakterlap!$P$3:$Z$4,10,FALSE)-Karakterlap!$P$6),14),IF(Karakterlap!$P$4=L37,VLOOKUP(L37,Karakterlap!$P$3:$Z$4,10,FALSE),14)),IF(Karakterlap!$P$5="Váltott kaszt",IF(L37=Karakterlap!$P$3,(Karakterlap!$Y$3+3)*14,VLOOKUP(L37,Karakterlap!$P$3:$Z$4,10,FALSE)*14),IFERROR(VLOOKUP(L37,Karakterlap!$P$3:$Z$4,10,FALSE)*14,14)))</f>
        <v>14</v>
      </c>
      <c r="AI37">
        <v>0</v>
      </c>
      <c r="AJ37">
        <v>7</v>
      </c>
      <c r="AK37">
        <v>6</v>
      </c>
      <c r="AL37">
        <f>IFERROR(VLOOKUP(L37,Karakterlap!$P$3:$Z$4,10,FALSE)*($E$18+4),$E$18+4)</f>
        <v>10</v>
      </c>
      <c r="AN37" t="s">
        <v>91</v>
      </c>
      <c r="AO37" t="str">
        <f>IFERROR((IF(Karakterlap!$F$9&gt;10,Karakterlap!$F$9-10,0))+4+((VLOOKUP(L37,Karakterlap!$P$3:$Z$4,10,FALSE)-1)*3),"más kaszt")</f>
        <v>más kaszt</v>
      </c>
      <c r="BA37">
        <f>IFERROR(IF(Karakterlap!$P$6&gt;13,112001+((Karakterlap!$P$6-13)*31200),112001),112001)</f>
        <v>112001</v>
      </c>
      <c r="BB37" s="36">
        <f>VLOOKUP("k6+12",$I$2:$J$11,2,FALSE)+IFERROR(VLOOKUP(Karakterlap!$V$7,$A$24:$C$33,3,FALSE),0)</f>
        <v>16</v>
      </c>
      <c r="BC37" s="36">
        <f>VLOOKUP("k10+8",$I$2:$J$11,2,FALSE)+IFERROR(VLOOKUP(Karakterlap!$V$7,$A$24:$D$33,4,FALSE),0)</f>
        <v>14</v>
      </c>
      <c r="BD37" s="36">
        <f>VLOOKUP("2k6+6",$I$2:$J$11,2,FALSE)+IFERROR(VLOOKUP(Karakterlap!$V$7,$A$24:$E$33,5,FALSE),0)</f>
        <v>13</v>
      </c>
      <c r="BE37" s="36">
        <f>VLOOKUP("2k6+6",$I$2:$J$11,2,FALSE)+IFERROR(VLOOKUP(Karakterlap!$V$7,$A$24:$F$33,6,FALSE),0)</f>
        <v>13</v>
      </c>
      <c r="BF37" s="48">
        <f>VLOOKUP("k10+10",$I$2:$J$11,2,FALSE)+IFERROR(VLOOKUP(Karakterlap!$V$7,$A$24:$G$33,7,FALSE),0)</f>
        <v>16</v>
      </c>
      <c r="BG37" s="36">
        <f>VLOOKUP("3k6(2x)",$I$2:$J$11,2,FALSE)+IFERROR(VLOOKUP(Karakterlap!$V$7,$A$24:$H$33,8,FALSE),0)</f>
        <v>11</v>
      </c>
      <c r="BH37" s="36">
        <f>VLOOKUP("3k6(2x)",$I$2:$J$11,2,FALSE)+IFERROR(VLOOKUP(Karakterlap!$V$7,$A$24:$I$33,9,FALSE),0)</f>
        <v>11</v>
      </c>
      <c r="BI37" s="36">
        <f t="shared" si="0"/>
        <v>13</v>
      </c>
      <c r="BJ37" s="36">
        <f>VLOOKUP("3k6(2x)",$I$2:$J$11,2,FALSE)+IFERROR(VLOOKUP(Karakterlap!$V$7,$A$24:$J$33,10,FALSE),0)</f>
        <v>11</v>
      </c>
      <c r="BK37" s="36">
        <f t="shared" si="1"/>
        <v>13</v>
      </c>
      <c r="BL37" s="36">
        <f>IF((SUM(Karakterlap!$F$3:$F$12)-SUM(BB37:BK37))&lt;0,0,SUM(Karakterlap!$F$3:$F$12)-SUM(BB37:BK37))</f>
        <v>0</v>
      </c>
      <c r="BM37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37&gt;18,BI37,18))&gt;0,Karakterlap!$F$10-IF(BI37&gt;18,BI37,18),0),0)+IF(Karakterlap!$F$11&gt;(18+IFERROR(VLOOKUP(Karakterlap!$V$7,$A$24:$J$33,10,FALSE),0)),(Karakterlap!$F$11-(18+IFERROR(VLOOKUP(Karakterlap!$V$7,$A$24:$J$33,10,FALSE),0))),0)+IF(Karakterlap!$F$12&gt;18,IF((Karakterlap!$F$12-IF(BK37&gt;18,BK37,18))&gt;0,Karakterlap!$F$12-IF(BK37&gt;18,BK37,18),0),0)</f>
        <v>#VALUE!</v>
      </c>
      <c r="BN37" t="s">
        <v>977</v>
      </c>
      <c r="BO37" t="s">
        <v>977</v>
      </c>
      <c r="BP37" t="s">
        <v>977</v>
      </c>
      <c r="BQ37" t="s">
        <v>977</v>
      </c>
      <c r="BW37" s="5"/>
      <c r="BX37" s="97" t="s">
        <v>192</v>
      </c>
      <c r="BY37" s="97" t="s">
        <v>190</v>
      </c>
      <c r="BZ37" s="97" t="s">
        <v>189</v>
      </c>
      <c r="CA37" s="97" t="s">
        <v>189</v>
      </c>
      <c r="CB37" s="97" t="s">
        <v>193</v>
      </c>
      <c r="CC37" s="97" t="s">
        <v>187</v>
      </c>
      <c r="CD37" s="97" t="s">
        <v>187</v>
      </c>
      <c r="CE37" s="97" t="s">
        <v>189</v>
      </c>
      <c r="CF37" s="97" t="s">
        <v>187</v>
      </c>
      <c r="CG37" s="97" t="s">
        <v>189</v>
      </c>
    </row>
    <row r="38" spans="1:85" ht="16" thickBot="1" x14ac:dyDescent="0.25">
      <c r="L38" t="s">
        <v>748</v>
      </c>
      <c r="M38">
        <v>0</v>
      </c>
      <c r="N38">
        <v>161</v>
      </c>
      <c r="O38">
        <v>321</v>
      </c>
      <c r="P38">
        <v>641</v>
      </c>
      <c r="Q38">
        <v>1441</v>
      </c>
      <c r="R38">
        <v>2801</v>
      </c>
      <c r="S38">
        <v>5601</v>
      </c>
      <c r="T38">
        <v>10001</v>
      </c>
      <c r="U38">
        <v>20001</v>
      </c>
      <c r="V38">
        <v>40001</v>
      </c>
      <c r="W38">
        <v>60001</v>
      </c>
      <c r="X38">
        <v>80001</v>
      </c>
      <c r="Y38">
        <f>IFERROR(IF(VLOOKUP(L38,Karakterlap!$P$3:$Z$4,10,FALSE)&gt;13,112001+((VLOOKUP(L38,Karakterlap!$P$3:$Z$4,10,FALSE)-13)*31200),112001),112001)</f>
        <v>112001</v>
      </c>
      <c r="Z38">
        <v>9</v>
      </c>
      <c r="AA38">
        <v>20</v>
      </c>
      <c r="AB38">
        <v>75</v>
      </c>
      <c r="AC38">
        <v>0</v>
      </c>
      <c r="AD38">
        <f>IFERROR(VLOOKUP(L38,Karakterlap!$P$3:$Z$4,10,FALSE)*11,11)</f>
        <v>11</v>
      </c>
      <c r="AE38">
        <f>IFERROR(IF(Karakterlap!$P$5="Váltott kaszt",IF(Karakterlap!$P$3=Adattábla!$L38,Karakterlap!$Y$3*3,IF(Karakterlap!$P$4=Adattábla!$L38,(Karakterlap!$Y$4-Adattábla!$I$20)*3,3)),VLOOKUP(Adattábla!$L38,Karakterlap!$P$3:$Z$4,10,FALSE)*3),3)</f>
        <v>3</v>
      </c>
      <c r="AF38">
        <f>IFERROR(IF(Karakterlap!$P$5="Váltott kaszt",IF(Karakterlap!$P$3=Adattábla!$L38,Karakterlap!$Y$3*3,IF(Karakterlap!$P$4=Adattábla!$L38,(Karakterlap!$Y$4-Adattábla!$I$20)*3,3)),VLOOKUP(Adattábla!$L38,Karakterlap!$P$3:$Z$4,10,FALSE)*3),3)</f>
        <v>3</v>
      </c>
      <c r="AG38">
        <v>10</v>
      </c>
      <c r="AH38">
        <f>IF(Karakterlap!$P$5="Iker kaszt",IF(Karakterlap!$P$3=L38,IFERROR((Karakterlap!$P$6*14)+(VLOOKUP(L38,Karakterlap!$P$3:$Z$4,10,FALSE)-Karakterlap!$P$6),14),IF(Karakterlap!$P$4=L38,VLOOKUP(L38,Karakterlap!$P$3:$Z$4,10,FALSE),14)),IF(Karakterlap!$P$5="Váltott kaszt",IF(L38=Karakterlap!$P$3,(Karakterlap!$Y$3+3)*14,VLOOKUP(L38,Karakterlap!$P$3:$Z$4,10,FALSE)*14),IFERROR(VLOOKUP(L38,Karakterlap!$P$3:$Z$4,10,FALSE)*14,14)))</f>
        <v>14</v>
      </c>
      <c r="AI38">
        <v>0</v>
      </c>
      <c r="AJ38">
        <v>7</v>
      </c>
      <c r="AK38">
        <v>6</v>
      </c>
      <c r="AL38">
        <f>IFERROR(VLOOKUP(L38,Karakterlap!$P$3:$Z$4,10,FALSE)*($E$18+4),$E$18+4)</f>
        <v>10</v>
      </c>
      <c r="AN38" t="s">
        <v>91</v>
      </c>
      <c r="AO38" t="str">
        <f>IFERROR((IF(Karakterlap!$F$9&gt;10,Karakterlap!$F$9-10,0))+4+((VLOOKUP(L38,Karakterlap!$P$3:$Z$4,10,FALSE)-1)*3),"más kaszt")</f>
        <v>más kaszt</v>
      </c>
      <c r="BA38">
        <f>IFERROR(IF(Karakterlap!$P$6&gt;13,112001+((Karakterlap!$P$6-13)*31200),112001),112001)</f>
        <v>112001</v>
      </c>
      <c r="BB38" s="36">
        <f>VLOOKUP("k6+12",$I$2:$J$11,2,FALSE)+IFERROR(VLOOKUP(Karakterlap!$V$7,$A$24:$C$33,3,FALSE),0)</f>
        <v>16</v>
      </c>
      <c r="BC38" s="36">
        <f>VLOOKUP("k10+8",$I$2:$J$11,2,FALSE)+IFERROR(VLOOKUP(Karakterlap!$V$7,$A$24:$D$33,4,FALSE),0)</f>
        <v>14</v>
      </c>
      <c r="BD38" s="36">
        <f>VLOOKUP("2k6+6",$I$2:$J$11,2,FALSE)+IFERROR(VLOOKUP(Karakterlap!$V$7,$A$24:$E$33,5,FALSE),0)</f>
        <v>13</v>
      </c>
      <c r="BE38" s="36">
        <f>VLOOKUP("2k6+6",$I$2:$J$11,2,FALSE)+IFERROR(VLOOKUP(Karakterlap!$V$7,$A$24:$F$33,6,FALSE),0)</f>
        <v>13</v>
      </c>
      <c r="BF38" s="48">
        <f>VLOOKUP("k10+10",$I$2:$J$11,2,FALSE)+IFERROR(VLOOKUP(Karakterlap!$V$7,$A$24:$G$33,7,FALSE),0)</f>
        <v>16</v>
      </c>
      <c r="BG38" s="36">
        <f>VLOOKUP("3k6(2x)",$I$2:$J$11,2,FALSE)+IFERROR(VLOOKUP(Karakterlap!$V$7,$A$24:$H$33,8,FALSE),0)</f>
        <v>11</v>
      </c>
      <c r="BH38" s="36">
        <f>VLOOKUP("3k6(2x)",$I$2:$J$11,2,FALSE)+IFERROR(VLOOKUP(Karakterlap!$V$7,$A$24:$I$33,9,FALSE),0)</f>
        <v>11</v>
      </c>
      <c r="BI38" s="36">
        <f t="shared" si="0"/>
        <v>13</v>
      </c>
      <c r="BJ38" s="36">
        <f>VLOOKUP("3k6(2x)",$I$2:$J$11,2,FALSE)+IFERROR(VLOOKUP(Karakterlap!$V$7,$A$24:$J$33,10,FALSE),0)</f>
        <v>11</v>
      </c>
      <c r="BK38" s="36">
        <f t="shared" si="1"/>
        <v>13</v>
      </c>
      <c r="BL38" s="36">
        <f>IF((SUM(Karakterlap!$F$3:$F$12)-SUM(BB38:BK38))&lt;0,0,SUM(Karakterlap!$F$3:$F$12)-SUM(BB38:BK38))</f>
        <v>0</v>
      </c>
      <c r="BM38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38&gt;18,BI38,18))&gt;0,Karakterlap!$F$10-IF(BI38&gt;18,BI38,18),0),0)+IF(Karakterlap!$F$11&gt;(18+IFERROR(VLOOKUP(Karakterlap!$V$7,$A$24:$J$33,10,FALSE),0)),(Karakterlap!$F$11-(18+IFERROR(VLOOKUP(Karakterlap!$V$7,$A$24:$J$33,10,FALSE),0))),0)+IF(Karakterlap!$F$12&gt;18,IF((Karakterlap!$F$12-IF(BK38&gt;18,BK38,18))&gt;0,Karakterlap!$F$12-IF(BK38&gt;18,BK38,18),0),0)</f>
        <v>#VALUE!</v>
      </c>
      <c r="BN38" t="s">
        <v>977</v>
      </c>
      <c r="BO38" t="s">
        <v>977</v>
      </c>
      <c r="BP38" t="s">
        <v>977</v>
      </c>
      <c r="BQ38" t="s">
        <v>977</v>
      </c>
      <c r="BW38" s="5"/>
      <c r="BX38" s="97" t="s">
        <v>192</v>
      </c>
      <c r="BY38" s="97" t="s">
        <v>190</v>
      </c>
      <c r="BZ38" s="97" t="s">
        <v>189</v>
      </c>
      <c r="CA38" s="97" t="s">
        <v>189</v>
      </c>
      <c r="CB38" s="97" t="s">
        <v>193</v>
      </c>
      <c r="CC38" s="97" t="s">
        <v>187</v>
      </c>
      <c r="CD38" s="97" t="s">
        <v>187</v>
      </c>
      <c r="CE38" s="97" t="s">
        <v>189</v>
      </c>
      <c r="CF38" s="97" t="s">
        <v>187</v>
      </c>
      <c r="CG38" s="97" t="s">
        <v>189</v>
      </c>
    </row>
    <row r="39" spans="1:85" x14ac:dyDescent="0.2">
      <c r="A39" s="82" t="s">
        <v>855</v>
      </c>
      <c r="B39" s="82"/>
      <c r="C39" s="82" t="s">
        <v>856</v>
      </c>
      <c r="F39" s="90"/>
      <c r="G39" s="91" t="s">
        <v>975</v>
      </c>
      <c r="H39" s="92" t="s">
        <v>976</v>
      </c>
      <c r="L39" t="s">
        <v>752</v>
      </c>
      <c r="M39">
        <v>0</v>
      </c>
      <c r="N39">
        <v>161</v>
      </c>
      <c r="O39">
        <v>321</v>
      </c>
      <c r="P39">
        <v>641</v>
      </c>
      <c r="Q39">
        <v>1441</v>
      </c>
      <c r="R39">
        <v>2801</v>
      </c>
      <c r="S39">
        <v>5601</v>
      </c>
      <c r="T39">
        <v>10001</v>
      </c>
      <c r="U39">
        <v>20001</v>
      </c>
      <c r="V39">
        <v>40001</v>
      </c>
      <c r="W39">
        <v>60001</v>
      </c>
      <c r="X39">
        <v>80001</v>
      </c>
      <c r="Y39">
        <f>IFERROR(IF(VLOOKUP(L39,Karakterlap!$P$3:$Z$4,10,FALSE)&gt;13,112001+((VLOOKUP(L39,Karakterlap!$P$3:$Z$4,10,FALSE)-13)*31200),112001),112001)</f>
        <v>112001</v>
      </c>
      <c r="Z39">
        <v>9</v>
      </c>
      <c r="AA39">
        <v>20</v>
      </c>
      <c r="AB39">
        <v>75</v>
      </c>
      <c r="AC39">
        <v>0</v>
      </c>
      <c r="AD39">
        <f>IFERROR(VLOOKUP(L39,Karakterlap!$P$3:$Z$4,10,FALSE)*11,11)</f>
        <v>11</v>
      </c>
      <c r="AE39">
        <f>IFERROR(IF(Karakterlap!$P$5="Váltott kaszt",IF(Karakterlap!$P$3=Adattábla!$L39,Karakterlap!$Y$3*3,IF(Karakterlap!$P$4=Adattábla!$L39,(Karakterlap!$Y$4-Adattábla!$I$20)*3,3)),VLOOKUP(Adattábla!$L39,Karakterlap!$P$3:$Z$4,10,FALSE)*3),3)</f>
        <v>3</v>
      </c>
      <c r="AF39">
        <f>IFERROR(IF(Karakterlap!$P$5="Váltott kaszt",IF(Karakterlap!$P$3=Adattábla!$L39,Karakterlap!$Y$3*3,IF(Karakterlap!$P$4=Adattábla!$L39,(Karakterlap!$Y$4-Adattábla!$I$20)*3,3)),VLOOKUP(Adattábla!$L39,Karakterlap!$P$3:$Z$4,10,FALSE)*3),3)</f>
        <v>3</v>
      </c>
      <c r="AG39">
        <v>10</v>
      </c>
      <c r="AH39">
        <f>IF(Karakterlap!$P$5="Iker kaszt",IF(Karakterlap!$P$3=L39,IFERROR((Karakterlap!$P$6*14)+(VLOOKUP(L39,Karakterlap!$P$3:$Z$4,10,FALSE)-Karakterlap!$P$6),14),IF(Karakterlap!$P$4=L39,VLOOKUP(L39,Karakterlap!$P$3:$Z$4,10,FALSE),14)),IF(Karakterlap!$P$5="Váltott kaszt",IF(L39=Karakterlap!$P$3,(Karakterlap!$Y$3+3)*14,VLOOKUP(L39,Karakterlap!$P$3:$Z$4,10,FALSE)*14),IFERROR(VLOOKUP(L39,Karakterlap!$P$3:$Z$4,10,FALSE)*14,14)))</f>
        <v>14</v>
      </c>
      <c r="AI39">
        <v>0</v>
      </c>
      <c r="AJ39">
        <v>7</v>
      </c>
      <c r="AK39">
        <v>6</v>
      </c>
      <c r="AL39">
        <f>IFERROR(VLOOKUP(L39,Karakterlap!$P$3:$Z$4,10,FALSE)*($E$18+4),$E$18+4)</f>
        <v>10</v>
      </c>
      <c r="AN39" t="s">
        <v>91</v>
      </c>
      <c r="AO39" t="str">
        <f>IFERROR((IF(Karakterlap!$F$9&gt;10,Karakterlap!$F$9-10,0))+4+((VLOOKUP(L39,Karakterlap!$P$3:$Z$4,10,FALSE)-1)*3),"más kaszt")</f>
        <v>más kaszt</v>
      </c>
      <c r="AQ39" s="14">
        <v>20</v>
      </c>
      <c r="AS39" s="14">
        <v>10</v>
      </c>
      <c r="BA39">
        <f>IFERROR(IF(Karakterlap!$P$6&gt;13,112001+((Karakterlap!$P$6-13)*31200),112001),112001)</f>
        <v>112001</v>
      </c>
      <c r="BB39" s="36">
        <f>VLOOKUP("k6+12",$I$2:$J$11,2,FALSE)+IFERROR(VLOOKUP(Karakterlap!$V$7,$A$24:$C$33,3,FALSE),0)</f>
        <v>16</v>
      </c>
      <c r="BC39" s="36">
        <f>VLOOKUP("k10+8",$I$2:$J$11,2,FALSE)+IFERROR(VLOOKUP(Karakterlap!$V$7,$A$24:$D$33,4,FALSE),0)</f>
        <v>14</v>
      </c>
      <c r="BD39" s="36">
        <f>VLOOKUP("2k6+6",$I$2:$J$11,2,FALSE)+IFERROR(VLOOKUP(Karakterlap!$V$7,$A$24:$E$33,5,FALSE),0)</f>
        <v>13</v>
      </c>
      <c r="BE39" s="36">
        <f>VLOOKUP("2k6+6",$I$2:$J$11,2,FALSE)+IFERROR(VLOOKUP(Karakterlap!$V$7,$A$24:$F$33,6,FALSE),0)</f>
        <v>13</v>
      </c>
      <c r="BF39" s="48">
        <f>VLOOKUP("k10+10",$I$2:$J$11,2,FALSE)+IFERROR(VLOOKUP(Karakterlap!$V$7,$A$24:$G$33,7,FALSE),0)</f>
        <v>16</v>
      </c>
      <c r="BG39" s="36">
        <f>VLOOKUP("3k6(2x)",$I$2:$J$11,2,FALSE)+IFERROR(VLOOKUP(Karakterlap!$V$7,$A$24:$H$33,8,FALSE),0)</f>
        <v>11</v>
      </c>
      <c r="BH39" s="36">
        <f>VLOOKUP("3k6(2x)",$I$2:$J$11,2,FALSE)+IFERROR(VLOOKUP(Karakterlap!$V$7,$A$24:$I$33,9,FALSE),0)</f>
        <v>11</v>
      </c>
      <c r="BI39" s="36">
        <f t="shared" si="0"/>
        <v>13</v>
      </c>
      <c r="BJ39" s="36">
        <f>VLOOKUP("3k6(2x)",$I$2:$J$11,2,FALSE)+IFERROR(VLOOKUP(Karakterlap!$V$7,$A$24:$J$33,10,FALSE),0)</f>
        <v>11</v>
      </c>
      <c r="BK39" s="36">
        <f t="shared" si="1"/>
        <v>13</v>
      </c>
      <c r="BL39" s="36">
        <f>IF((SUM(Karakterlap!$F$3:$F$12)-SUM(BB39:BK39))&lt;0,0,SUM(Karakterlap!$F$3:$F$12)-SUM(BB39:BK39))</f>
        <v>0</v>
      </c>
      <c r="BM39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39&gt;18,BI39,18))&gt;0,Karakterlap!$F$10-IF(BI39&gt;18,BI39,18),0),0)+IF(Karakterlap!$F$11&gt;(18+IFERROR(VLOOKUP(Karakterlap!$V$7,$A$24:$J$33,10,FALSE),0)),(Karakterlap!$F$11-(18+IFERROR(VLOOKUP(Karakterlap!$V$7,$A$24:$J$33,10,FALSE),0))),0)+IF(Karakterlap!$F$12&gt;18,IF((Karakterlap!$F$12-IF(BK39&gt;18,BK39,18))&gt;0,Karakterlap!$F$12-IF(BK39&gt;18,BK39,18),0),0)</f>
        <v>#VALUE!</v>
      </c>
      <c r="BN39" t="s">
        <v>977</v>
      </c>
      <c r="BO39" t="s">
        <v>977</v>
      </c>
      <c r="BP39" t="s">
        <v>977</v>
      </c>
      <c r="BQ39" t="s">
        <v>977</v>
      </c>
      <c r="BW39" s="5"/>
      <c r="BX39" s="97" t="s">
        <v>192</v>
      </c>
      <c r="BY39" s="97" t="s">
        <v>190</v>
      </c>
      <c r="BZ39" s="97" t="s">
        <v>189</v>
      </c>
      <c r="CA39" s="97" t="s">
        <v>189</v>
      </c>
      <c r="CB39" s="97" t="s">
        <v>193</v>
      </c>
      <c r="CC39" s="97" t="s">
        <v>187</v>
      </c>
      <c r="CD39" s="97" t="s">
        <v>187</v>
      </c>
      <c r="CE39" s="97" t="s">
        <v>189</v>
      </c>
      <c r="CF39" s="97" t="s">
        <v>187</v>
      </c>
      <c r="CG39" s="97" t="s">
        <v>189</v>
      </c>
    </row>
    <row r="40" spans="1:85" x14ac:dyDescent="0.2">
      <c r="A40" s="82"/>
      <c r="C40" t="s">
        <v>890</v>
      </c>
      <c r="F40" s="37" t="s">
        <v>185</v>
      </c>
      <c r="G40" s="4">
        <v>2</v>
      </c>
      <c r="H40" s="38">
        <v>17</v>
      </c>
      <c r="L40" t="s">
        <v>754</v>
      </c>
      <c r="M40">
        <v>0</v>
      </c>
      <c r="N40">
        <v>161</v>
      </c>
      <c r="O40">
        <v>321</v>
      </c>
      <c r="P40">
        <v>641</v>
      </c>
      <c r="Q40">
        <v>1441</v>
      </c>
      <c r="R40">
        <v>2801</v>
      </c>
      <c r="S40">
        <v>5601</v>
      </c>
      <c r="T40">
        <v>10001</v>
      </c>
      <c r="U40">
        <v>20001</v>
      </c>
      <c r="V40">
        <v>40001</v>
      </c>
      <c r="W40">
        <v>60001</v>
      </c>
      <c r="X40">
        <v>80001</v>
      </c>
      <c r="Y40">
        <f>IFERROR(IF(VLOOKUP(L40,Karakterlap!$P$3:$Z$4,10,FALSE)&gt;13,112001+((VLOOKUP(L40,Karakterlap!$P$3:$Z$4,10,FALSE)-13)*31200),112001),112001)</f>
        <v>112001</v>
      </c>
      <c r="Z40">
        <v>9</v>
      </c>
      <c r="AA40">
        <v>20</v>
      </c>
      <c r="AB40">
        <v>75</v>
      </c>
      <c r="AC40">
        <v>25</v>
      </c>
      <c r="AD40">
        <f>IFERROR(VLOOKUP(L40,Karakterlap!$P$3:$Z$4,10,FALSE)*11,11)</f>
        <v>11</v>
      </c>
      <c r="AE40">
        <f>IFERROR(IF(Karakterlap!$P$5="Váltott kaszt",IF(Karakterlap!$P$3=Adattábla!$L40,Karakterlap!$Y$3*2,IF(Karakterlap!$P$4=Adattábla!$L40,(Karakterlap!$Y$4-Adattábla!$I$20)*2,2)),VLOOKUP(Adattábla!$L40,Karakterlap!$P$3:$Z$4,10,FALSE)*2),2)</f>
        <v>2</v>
      </c>
      <c r="AF40">
        <f>IFERROR(IF(Karakterlap!$P$5="Váltott kaszt",IF(Karakterlap!$P$3=Adattábla!$L40,Karakterlap!$Y$3*2,IF(Karakterlap!$P$4=Adattábla!$L40,(Karakterlap!$Y$4-Adattábla!$I$20)*2,2)),VLOOKUP(Adattábla!$L40,Karakterlap!$P$3:$Z$4,10,FALSE)*2),2)</f>
        <v>2</v>
      </c>
      <c r="AG40">
        <v>10</v>
      </c>
      <c r="AH40">
        <f>IF(Karakterlap!$P$5="Iker kaszt",IF(Karakterlap!$P$3=L40,IFERROR((Karakterlap!$P$6*14)+(VLOOKUP(L40,Karakterlap!$P$3:$Z$4,10,FALSE)-Karakterlap!$P$6),14),IF(Karakterlap!$P$4=L40,VLOOKUP(L40,Karakterlap!$P$3:$Z$4,10,FALSE),14)),IF(Karakterlap!$P$5="Váltott kaszt",IF(L40=Karakterlap!$P$3,(Karakterlap!$Y$3+3)*14,VLOOKUP(L40,Karakterlap!$P$3:$Z$4,10,FALSE)*14),IFERROR(VLOOKUP(L40,Karakterlap!$P$3:$Z$4,10,FALSE)*14,14)))</f>
        <v>14</v>
      </c>
      <c r="AI40">
        <v>0</v>
      </c>
      <c r="AJ40">
        <v>7</v>
      </c>
      <c r="AK40">
        <v>6</v>
      </c>
      <c r="AL40">
        <f>IFERROR(VLOOKUP(L40,Karakterlap!$P$3:$Z$4,10,FALSE)*($E$18+4),$E$18+4)</f>
        <v>10</v>
      </c>
      <c r="AN40" t="s">
        <v>91</v>
      </c>
      <c r="AO40" t="str">
        <f>IFERROR((IF(Karakterlap!$F$9&gt;10,Karakterlap!$F$9-10,0))+4+((VLOOKUP(L40,Karakterlap!$P$3:$Z$4,10,FALSE)-1)*3),"más kaszt")</f>
        <v>más kaszt</v>
      </c>
      <c r="AQ40" s="14">
        <v>20</v>
      </c>
      <c r="BA40">
        <f>IFERROR(IF(Karakterlap!$P$6&gt;13,112001+((Karakterlap!$P$6-13)*31200),112001),112001)</f>
        <v>112001</v>
      </c>
      <c r="BB40" s="36">
        <f>VLOOKUP("k6+12",$I$2:$J$11,2,FALSE)+IFERROR(VLOOKUP(Karakterlap!$V$7,$A$24:$C$33,3,FALSE),0)</f>
        <v>16</v>
      </c>
      <c r="BC40" s="36">
        <f>VLOOKUP("k10+8",$I$2:$J$11,2,FALSE)+IFERROR(VLOOKUP(Karakterlap!$V$7,$A$24:$D$33,4,FALSE),0)</f>
        <v>14</v>
      </c>
      <c r="BD40" s="36">
        <f>VLOOKUP("2k6+6",$I$2:$J$11,2,FALSE)+IFERROR(VLOOKUP(Karakterlap!$V$7,$A$24:$E$33,5,FALSE),0)</f>
        <v>13</v>
      </c>
      <c r="BE40" s="36">
        <f>VLOOKUP("2k6+6",$I$2:$J$11,2,FALSE)+IFERROR(VLOOKUP(Karakterlap!$V$7,$A$24:$F$33,6,FALSE),0)</f>
        <v>13</v>
      </c>
      <c r="BF40" s="48">
        <f>VLOOKUP("k10+10",$I$2:$J$11,2,FALSE)+IFERROR(VLOOKUP(Karakterlap!$V$7,$A$24:$G$33,7,FALSE),0)</f>
        <v>16</v>
      </c>
      <c r="BG40" s="36">
        <f>VLOOKUP("3k6(2x)",$I$2:$J$11,2,FALSE)+IFERROR(VLOOKUP(Karakterlap!$V$7,$A$24:$H$33,8,FALSE),0)</f>
        <v>11</v>
      </c>
      <c r="BH40" s="36">
        <f>VLOOKUP("3k6(2x)",$I$2:$J$11,2,FALSE)+IFERROR(VLOOKUP(Karakterlap!$V$7,$A$24:$I$33,9,FALSE),0)</f>
        <v>11</v>
      </c>
      <c r="BI40" s="36">
        <f t="shared" si="0"/>
        <v>13</v>
      </c>
      <c r="BJ40" s="36">
        <f>VLOOKUP("3k6(2x)",$I$2:$J$11,2,FALSE)+IFERROR(VLOOKUP(Karakterlap!$V$7,$A$24:$J$33,10,FALSE),0)</f>
        <v>11</v>
      </c>
      <c r="BK40" s="36">
        <f t="shared" si="1"/>
        <v>13</v>
      </c>
      <c r="BL40" s="36">
        <f>IF((SUM(Karakterlap!$F$3:$F$12)-SUM(BB40:BK40))&lt;0,0,SUM(Karakterlap!$F$3:$F$12)-SUM(BB40:BK40))</f>
        <v>0</v>
      </c>
      <c r="BM40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40&gt;18,BI40,18))&gt;0,Karakterlap!$F$10-IF(BI40&gt;18,BI40,18),0),0)+IF(Karakterlap!$F$11&gt;(18+IFERROR(VLOOKUP(Karakterlap!$V$7,$A$24:$J$33,10,FALSE),0)),(Karakterlap!$F$11-(18+IFERROR(VLOOKUP(Karakterlap!$V$7,$A$24:$J$33,10,FALSE),0))),0)+IF(Karakterlap!$F$12&gt;18,IF((Karakterlap!$F$12-IF(BK40&gt;18,BK40,18))&gt;0,Karakterlap!$F$12-IF(BK40&gt;18,BK40,18),0),0)</f>
        <v>#VALUE!</v>
      </c>
      <c r="BN40" t="s">
        <v>977</v>
      </c>
      <c r="BO40" t="s">
        <v>977</v>
      </c>
      <c r="BP40" t="s">
        <v>977</v>
      </c>
      <c r="BQ40" t="s">
        <v>977</v>
      </c>
      <c r="BW40" s="5"/>
      <c r="BX40" s="97" t="s">
        <v>192</v>
      </c>
      <c r="BY40" s="97" t="s">
        <v>190</v>
      </c>
      <c r="BZ40" s="97" t="s">
        <v>189</v>
      </c>
      <c r="CA40" s="97" t="s">
        <v>189</v>
      </c>
      <c r="CB40" s="97" t="s">
        <v>193</v>
      </c>
      <c r="CC40" s="97" t="s">
        <v>187</v>
      </c>
      <c r="CD40" s="97" t="s">
        <v>187</v>
      </c>
      <c r="CE40" s="97" t="s">
        <v>189</v>
      </c>
      <c r="CF40" s="97" t="s">
        <v>187</v>
      </c>
      <c r="CG40" s="97" t="s">
        <v>189</v>
      </c>
    </row>
    <row r="41" spans="1:85" x14ac:dyDescent="0.2">
      <c r="A41" t="s">
        <v>871</v>
      </c>
      <c r="C41" t="s">
        <v>891</v>
      </c>
      <c r="F41" s="37" t="s">
        <v>186</v>
      </c>
      <c r="G41" s="4">
        <v>3</v>
      </c>
      <c r="H41" s="38">
        <v>18</v>
      </c>
      <c r="L41" t="s">
        <v>45</v>
      </c>
      <c r="M41">
        <v>0</v>
      </c>
      <c r="N41">
        <v>189</v>
      </c>
      <c r="O41">
        <v>377</v>
      </c>
      <c r="P41">
        <v>826</v>
      </c>
      <c r="Q41">
        <v>1651</v>
      </c>
      <c r="R41">
        <v>3301</v>
      </c>
      <c r="S41">
        <v>7251</v>
      </c>
      <c r="T41">
        <v>12051</v>
      </c>
      <c r="U41">
        <v>24001</v>
      </c>
      <c r="V41">
        <v>48001</v>
      </c>
      <c r="W41">
        <v>68001</v>
      </c>
      <c r="X41">
        <v>93001</v>
      </c>
      <c r="Y41">
        <f>IFERROR(IF(VLOOKUP(L41,Karakterlap!$P$3:$Z$4,10,FALSE)&gt;13,130001+((VLOOKUP(L41,Karakterlap!$P$3:$Z$4,10,FALSE)-13)*40000),130001),130001)</f>
        <v>130001</v>
      </c>
      <c r="Z41">
        <v>9</v>
      </c>
      <c r="AA41">
        <v>20</v>
      </c>
      <c r="AB41">
        <v>75</v>
      </c>
      <c r="AC41">
        <v>0</v>
      </c>
      <c r="AD41">
        <f>IFERROR(VLOOKUP(L41,Karakterlap!$P$3:$Z$4,10,FALSE)*12,12)</f>
        <v>12</v>
      </c>
      <c r="AE41">
        <f>IFERROR(IF(Karakterlap!$P$5="Váltott kaszt",IF(Karakterlap!$P$3=Adattábla!$L41,Karakterlap!$Y$3*4,IF(Karakterlap!$P$4=Adattábla!$L41,(Karakterlap!$Y$4-Adattábla!$I$20)*4,4)),VLOOKUP(Adattábla!$L41,Karakterlap!$P$3:$Z$4,10,FALSE)*4),4)</f>
        <v>4</v>
      </c>
      <c r="AF41">
        <f>IFERROR(IF(Karakterlap!$P$5="Váltott kaszt",IF(Karakterlap!$P$3=Adattábla!$L41,Karakterlap!$Y$3*4,IF(Karakterlap!$P$4=Adattábla!$L41,(Karakterlap!$Y$4-Adattábla!$I$20)*4,4)),VLOOKUP(Adattábla!$L41,Karakterlap!$P$3:$Z$4,10,FALSE)*4),4)</f>
        <v>4</v>
      </c>
      <c r="AG41">
        <v>3</v>
      </c>
      <c r="AH41">
        <f>IF(Karakterlap!$P$5="Iker kaszt",IF(Karakterlap!$P$3=L41,IFERROR((Karakterlap!$P$6*6)+(VLOOKUP(L41,Karakterlap!$P$3:$Z$4,10,FALSE)-Karakterlap!$P$6),6),IF(Karakterlap!$P$4=L41,VLOOKUP(L41,Karakterlap!$P$3:$Z$4,10,FALSE),6)),IF(Karakterlap!$P$5="Váltott kaszt",IF(L41=Karakterlap!$P$3,(Karakterlap!$Y$3+3)*6,VLOOKUP(L41,Karakterlap!$P$3:$Z$4,10,FALSE)*6),IFERROR(VLOOKUP(L41,Karakterlap!$P$3:$Z$4,10,FALSE)*6,6)))</f>
        <v>6</v>
      </c>
      <c r="AI41">
        <v>0</v>
      </c>
      <c r="AJ41">
        <v>8</v>
      </c>
      <c r="AK41">
        <v>7</v>
      </c>
      <c r="AL41">
        <f>IFERROR(VLOOKUP(L41,Karakterlap!$P$3:$Z$4,10,FALSE)*($E$18+5),$E$18+5)</f>
        <v>11</v>
      </c>
      <c r="AN41" t="s">
        <v>98</v>
      </c>
      <c r="AR41" s="14">
        <v>30</v>
      </c>
      <c r="AS41" s="14">
        <v>20</v>
      </c>
      <c r="BA41">
        <f>IFERROR(IF(Karakterlap!$P$6&gt;13,130001+((Karakterlap!$P$6-13)*40000),130001),130001)</f>
        <v>130001</v>
      </c>
      <c r="BB41" s="36">
        <f>VLOOKUP("k6+12",$I$2:$J$11,2,FALSE)+IFERROR(VLOOKUP(Karakterlap!$V$7,$A$24:$C$33,3,FALSE),0)</f>
        <v>16</v>
      </c>
      <c r="BC41" s="36">
        <f>VLOOKUP("k6+12",$I$2:$J$11,2,FALSE)+IFERROR(VLOOKUP(Karakterlap!$V$7,$A$24:$D$33,4,FALSE),0)</f>
        <v>16</v>
      </c>
      <c r="BD41" s="36">
        <f>VLOOKUP("2k6+6",$I$2:$J$11,2,FALSE)+IFERROR(VLOOKUP(Karakterlap!$V$7,$A$24:$E$33,5,FALSE),0)</f>
        <v>13</v>
      </c>
      <c r="BE41" s="36">
        <f>VLOOKUP("2k6+6",$I$2:$J$11,2,FALSE)+IFERROR(VLOOKUP(Karakterlap!$V$7,$A$24:$F$33,6,FALSE),0)</f>
        <v>13</v>
      </c>
      <c r="BF41" s="48">
        <f>VLOOKUP("k10+10",$I$2:$J$11,2,FALSE)+IFERROR(VLOOKUP(Karakterlap!$V$7,$A$24:$G$33,7,FALSE),0)</f>
        <v>16</v>
      </c>
      <c r="BG41" s="36">
        <f>VLOOKUP("2k6+6",$I$2:$J$11,2,FALSE)+IFERROR(VLOOKUP(Karakterlap!$V$7,$A$24:$H$33,8,FALSE),0)</f>
        <v>13</v>
      </c>
      <c r="BH41" s="36">
        <f>VLOOKUP("3k6",$I$2:$J$11,2,FALSE)+IFERROR(VLOOKUP(Karakterlap!$V$7,$A$24:$I$33,9,FALSE),0)</f>
        <v>10</v>
      </c>
      <c r="BI41" s="36">
        <f>VLOOKUP("3k6",$I$2:$J$11,2,FALSE)</f>
        <v>10</v>
      </c>
      <c r="BJ41" s="36">
        <f>VLOOKUP("3k6",$I$2:$J$11,2,FALSE)+IFERROR(VLOOKUP(Karakterlap!$V$7,$A$24:$J$33,10,FALSE),0)</f>
        <v>10</v>
      </c>
      <c r="BK41" s="36">
        <f>VLOOKUP("2k6+6",$I$2:$J$11,2,FALSE)</f>
        <v>13</v>
      </c>
      <c r="BL41" s="36">
        <f>IF((SUM(Karakterlap!$F$3:$F$12)-SUM(BB41:BK41))&lt;0,0,SUM(Karakterlap!$F$3:$F$12)-SUM(BB41:BK41))</f>
        <v>0</v>
      </c>
      <c r="BM41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41&gt;18,BI41,18))&gt;0,Karakterlap!$F$10-IF(BI41&gt;18,BI41,18),0),0)+IF(Karakterlap!$F$11&gt;(18+IFERROR(VLOOKUP(Karakterlap!$V$7,$A$24:$J$33,10,FALSE),0)),(Karakterlap!$F$11-(18+IFERROR(VLOOKUP(Karakterlap!$V$7,$A$24:$J$33,10,FALSE),0))),0)+IF(Karakterlap!$F$12&gt;18,IF((Karakterlap!$F$12-IF(BK41&gt;18,BK41,18))&gt;0,Karakterlap!$F$12-IF(BK41&gt;18,BK41,18),0),0)</f>
        <v>#VALUE!</v>
      </c>
      <c r="BN41" t="s">
        <v>977</v>
      </c>
      <c r="BO41" t="s">
        <v>977</v>
      </c>
      <c r="BP41" t="s">
        <v>977</v>
      </c>
      <c r="BQ41" t="s">
        <v>977</v>
      </c>
      <c r="BW41" s="5"/>
      <c r="BX41" s="97" t="s">
        <v>192</v>
      </c>
      <c r="BY41" s="97" t="s">
        <v>192</v>
      </c>
      <c r="BZ41" s="97" t="s">
        <v>189</v>
      </c>
      <c r="CA41" s="97" t="s">
        <v>189</v>
      </c>
      <c r="CB41" s="97" t="s">
        <v>193</v>
      </c>
      <c r="CC41" s="97" t="s">
        <v>189</v>
      </c>
      <c r="CD41" s="97" t="s">
        <v>186</v>
      </c>
      <c r="CE41" s="97" t="s">
        <v>186</v>
      </c>
      <c r="CF41" s="97" t="s">
        <v>186</v>
      </c>
      <c r="CG41" s="97" t="s">
        <v>189</v>
      </c>
    </row>
    <row r="42" spans="1:85" x14ac:dyDescent="0.2">
      <c r="C42" t="s">
        <v>892</v>
      </c>
      <c r="F42" s="37" t="s">
        <v>187</v>
      </c>
      <c r="G42" s="4">
        <v>3</v>
      </c>
      <c r="H42" s="38">
        <v>18</v>
      </c>
      <c r="I42" t="str">
        <f>IFERROR(IF((VLOOKUP(Karakterlap!P3,Adattábla!L:AD,19,FALSE)-VLOOKUP(Karakterlap!P4,Adattábla!L:AD,19,FALSE))&gt;0,VLOOKUP(Karakterlap!P3,Adattábla!L:AD,19,FALSE),VLOOKUP(Karakterlap!P3,Adattábla!L:AD,19,FALSE)+VLOOKUP(Karakterlap!P4,Adattábla!L:AD,19,FALSE)-(Adattábla!I20*(VLOOKUP(Karakterlap!P4,Adattábla!L:AD,19,FALSE)/Karakterlap!Y4))),"")</f>
        <v/>
      </c>
      <c r="L42" t="s">
        <v>46</v>
      </c>
      <c r="M42">
        <v>0</v>
      </c>
      <c r="N42">
        <v>191</v>
      </c>
      <c r="O42">
        <v>401</v>
      </c>
      <c r="P42">
        <v>901</v>
      </c>
      <c r="Q42">
        <v>1801</v>
      </c>
      <c r="R42">
        <v>3501</v>
      </c>
      <c r="S42">
        <v>7501</v>
      </c>
      <c r="T42">
        <v>15001</v>
      </c>
      <c r="U42">
        <v>30001</v>
      </c>
      <c r="V42">
        <v>60001</v>
      </c>
      <c r="W42">
        <v>110001</v>
      </c>
      <c r="X42">
        <v>160001</v>
      </c>
      <c r="Y42">
        <f>IFERROR(IF(VLOOKUP(L42,Karakterlap!$P$3:$Z$4,10,FALSE)&gt;13,220001+((VLOOKUP(L42,Karakterlap!$P$3:$Z$4,10,FALSE)-13)*60000),220001),220001)</f>
        <v>220001</v>
      </c>
      <c r="Z42">
        <v>10</v>
      </c>
      <c r="AA42">
        <v>20</v>
      </c>
      <c r="AB42">
        <v>75</v>
      </c>
      <c r="AC42">
        <v>0</v>
      </c>
      <c r="AD42">
        <f>IFERROR(VLOOKUP(L42,Karakterlap!$P$3:$Z$4,10,FALSE)*11,11)</f>
        <v>11</v>
      </c>
      <c r="AE42">
        <f>IFERROR(IF(Karakterlap!$P$5="Váltott kaszt",IF(Karakterlap!$P$3=Adattábla!$L42,Karakterlap!$Y$3*4,IF(Karakterlap!$P$4=Adattábla!$L42,(Karakterlap!$Y$4-Adattábla!$I$20)*4,4)),VLOOKUP(Adattábla!$L42,Karakterlap!$P$3:$Z$4,10,FALSE)*4),4)</f>
        <v>4</v>
      </c>
      <c r="AF42">
        <f>IFERROR(IF(Karakterlap!$P$5="Váltott kaszt",IF(Karakterlap!$P$3=Adattábla!$L42,Karakterlap!$Y$3*4,IF(Karakterlap!$P$4=Adattábla!$L42,(Karakterlap!$Y$4-Adattábla!$I$20)*4,4)),VLOOKUP(Adattábla!$L42,Karakterlap!$P$3:$Z$4,10,FALSE)*4),4)</f>
        <v>4</v>
      </c>
      <c r="AG42">
        <v>3</v>
      </c>
      <c r="AH42">
        <f>IF(Karakterlap!$P$5="Iker kaszt",IF(Karakterlap!$P$3=L42,IFERROR((Karakterlap!$P$6*5)+(VLOOKUP(L42,Karakterlap!$P$3:$Z$4,10,FALSE)-Karakterlap!$P$6),5),IF(Karakterlap!$P$4=L42,VLOOKUP(L42,Karakterlap!$P$3:$Z$4,10,FALSE),5)),IF(Karakterlap!$P$5="Váltott kaszt",IF(L42=Karakterlap!$P$3,(Karakterlap!$Y$3+3)*5,VLOOKUP(L42,Karakterlap!$P$3:$Z$4,10,FALSE)*5),IFERROR(VLOOKUP(L42,Karakterlap!$P$3:$Z$4,10,FALSE)*5,5)))</f>
        <v>5</v>
      </c>
      <c r="AI42">
        <f>IFERROR(IF(Karakterlap!$P$5="Váltott kaszt",IF(L42=Karakterlap!$P$3,Karakterlap!$P$6*20,VLOOKUP(L42,Karakterlap!$P$3:$Z$4,10,FALSE)*20),VLOOKUP(L42,Karakterlap!$P$3:$Z$4,10,FALSE)*20),20)</f>
        <v>20</v>
      </c>
      <c r="AJ42">
        <v>6</v>
      </c>
      <c r="AK42">
        <v>7</v>
      </c>
      <c r="AL42">
        <f>IFERROR(VLOOKUP(L42,Karakterlap!$P$3:$Z$4,10,FALSE)*($E$18+5),$E$18+5)</f>
        <v>11</v>
      </c>
      <c r="AN42" t="str">
        <f>IFERROR(IF(VLOOKUP("Fejvadász",Karakterlap!$P$3:$Z$4,10,FALSE)&gt;=5,"Pyarroni Mf","Pyarroni Af"),"más kaszt")</f>
        <v>más kaszt</v>
      </c>
      <c r="AO42" t="str">
        <f>IFERROR(IF(VLOOKUP(L42,Karakterlap!$P$3:$Z$4,10,FALSE)&gt;=5,13+(IF(Karakterlap!$F$9&gt;10,Karakterlap!$F$9-10,0))+((VLOOKUP(L42,Karakterlap!$P$3:$Z$4,10,FALSE)-4)*4),(VLOOKUP(L42,Karakterlap!$P$3:$Z$4,10,FALSE)-1)*3+4+(IF(Karakterlap!$F$9&gt;10,Karakterlap!$F$9-10,0))),"más kaszt")</f>
        <v>más kaszt</v>
      </c>
      <c r="AQ42" s="14">
        <v>30</v>
      </c>
      <c r="AR42" s="14">
        <v>15</v>
      </c>
      <c r="AS42" s="14">
        <v>15</v>
      </c>
      <c r="AT42" s="14">
        <v>20</v>
      </c>
      <c r="AU42" s="14">
        <v>25</v>
      </c>
      <c r="AX42" s="14">
        <v>10</v>
      </c>
      <c r="BA42">
        <f>IFERROR(IF(Karakterlap!$P$6&gt;13,220001+((Karakterlap!$P$6-13)*60000),220001),220001)</f>
        <v>220001</v>
      </c>
      <c r="BB42" s="36">
        <f>VLOOKUP("2k6+6",$I$2:$J$11,2,FALSE)+IFERROR(VLOOKUP(Karakterlap!$V$7,$A$24:$C$33,3,FALSE),0)</f>
        <v>13</v>
      </c>
      <c r="BC42" s="36">
        <f>VLOOKUP("k6+12",$I$2:$J$11,2,FALSE)+IFERROR(VLOOKUP(Karakterlap!$V$7,$A$24:$D$33,4,FALSE),0)</f>
        <v>16</v>
      </c>
      <c r="BD42" s="36">
        <f>VLOOKUP("k6+12",$I$2:$J$11,2,FALSE)+IFERROR(VLOOKUP(Karakterlap!$V$7,$A$24:$E$33,5,FALSE),0)</f>
        <v>16</v>
      </c>
      <c r="BE42" s="36">
        <f>VLOOKUP("k10+8",$I$2:$J$11,2,FALSE)+IFERROR(VLOOKUP(Karakterlap!$V$7,$A$24:$F$33,6,FALSE),0)</f>
        <v>14</v>
      </c>
      <c r="BF42" s="48">
        <f>VLOOKUP("k10+10",$I$2:$J$11,2,FALSE)+IFERROR(VLOOKUP(Karakterlap!$V$7,$A$24:$G$33,7,FALSE),0)</f>
        <v>16</v>
      </c>
      <c r="BG42" s="36">
        <f>VLOOKUP("3k6",$I$2:$J$11,2,FALSE)+IFERROR(VLOOKUP(Karakterlap!$V$7,$A$24:$H$33,8,FALSE),0)</f>
        <v>10</v>
      </c>
      <c r="BH42" s="36">
        <f>VLOOKUP("3k6(2x)",$I$2:$J$11,2,FALSE)+IFERROR(VLOOKUP(Karakterlap!$V$7,$A$24:$I$33,9,FALSE),0)</f>
        <v>11</v>
      </c>
      <c r="BI42" s="36">
        <f>VLOOKUP("k10+8",$I$2:$J$11,2,FALSE)</f>
        <v>14</v>
      </c>
      <c r="BJ42" s="36">
        <f>VLOOKUP("2k6+6",$I$2:$J$11,2,FALSE)+IFERROR(VLOOKUP(Karakterlap!$V$7,$A$24:$J$33,10,FALSE),0)</f>
        <v>13</v>
      </c>
      <c r="BK42" s="36">
        <f>VLOOKUP("k6+12",$I$2:$J$11,2,FALSE)</f>
        <v>16</v>
      </c>
      <c r="BL42" s="36">
        <f>IF((SUM(Karakterlap!$F$3:$F$12)-SUM(BB42:BK42))&lt;0,0,SUM(Karakterlap!$F$3:$F$12)-SUM(BB42:BK42))</f>
        <v>0</v>
      </c>
      <c r="BM42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42&gt;18,BI42,18))&gt;0,Karakterlap!$F$10-IF(BI42&gt;18,BI42,18),0),0)+IF(Karakterlap!$F$11&gt;(18+IFERROR(VLOOKUP(Karakterlap!$V$7,$A$24:$J$33,10,FALSE),0)),(Karakterlap!$F$11-(18+IFERROR(VLOOKUP(Karakterlap!$V$7,$A$24:$J$33,10,FALSE),0))),0)+IF(Karakterlap!$F$12&gt;18,IF((Karakterlap!$F$12-IF(BK42&gt;18,BK42,18))&gt;0,Karakterlap!$F$12-IF(BK42&gt;18,BK42,18),0),0)</f>
        <v>#VALUE!</v>
      </c>
      <c r="BO42" t="s">
        <v>977</v>
      </c>
      <c r="BP42" t="s">
        <v>977</v>
      </c>
      <c r="BW42" s="5"/>
      <c r="BX42" s="97" t="s">
        <v>189</v>
      </c>
      <c r="BY42" s="97" t="s">
        <v>192</v>
      </c>
      <c r="BZ42" s="97" t="s">
        <v>192</v>
      </c>
      <c r="CA42" s="97" t="s">
        <v>190</v>
      </c>
      <c r="CB42" s="97" t="s">
        <v>193</v>
      </c>
      <c r="CC42" s="97" t="s">
        <v>186</v>
      </c>
      <c r="CD42" s="97" t="s">
        <v>187</v>
      </c>
      <c r="CE42" s="97" t="s">
        <v>190</v>
      </c>
      <c r="CF42" s="97" t="s">
        <v>189</v>
      </c>
      <c r="CG42" s="97" t="s">
        <v>192</v>
      </c>
    </row>
    <row r="43" spans="1:85" x14ac:dyDescent="0.2">
      <c r="A43" s="82" t="s">
        <v>858</v>
      </c>
      <c r="B43" s="82"/>
      <c r="C43" t="s">
        <v>893</v>
      </c>
      <c r="F43" s="37" t="s">
        <v>188</v>
      </c>
      <c r="G43" s="4">
        <v>7</v>
      </c>
      <c r="H43" s="38">
        <v>16</v>
      </c>
      <c r="L43" t="s">
        <v>47</v>
      </c>
      <c r="M43">
        <v>0</v>
      </c>
      <c r="N43">
        <v>151</v>
      </c>
      <c r="O43">
        <v>371</v>
      </c>
      <c r="P43">
        <v>801</v>
      </c>
      <c r="Q43">
        <v>1651</v>
      </c>
      <c r="R43">
        <v>3201</v>
      </c>
      <c r="S43">
        <v>6401</v>
      </c>
      <c r="T43">
        <v>12001</v>
      </c>
      <c r="U43">
        <v>25001</v>
      </c>
      <c r="V43">
        <v>45001</v>
      </c>
      <c r="W43">
        <v>65001</v>
      </c>
      <c r="X43">
        <v>90001</v>
      </c>
      <c r="Y43">
        <f>IFERROR(IF(VLOOKUP(L43,Karakterlap!$P$3:$Z$4,10,FALSE)&gt;13,110001+((VLOOKUP(L43,Karakterlap!$P$3:$Z$4,10,FALSE)-13)*35000),110001),110001)</f>
        <v>110001</v>
      </c>
      <c r="Z43">
        <v>5</v>
      </c>
      <c r="AA43">
        <v>20</v>
      </c>
      <c r="AB43">
        <v>75</v>
      </c>
      <c r="AC43">
        <v>0</v>
      </c>
      <c r="AD43">
        <f>IFERROR(VLOOKUP(L43,Karakterlap!$P$3:$Z$4,10,FALSE)*12,12)</f>
        <v>12</v>
      </c>
      <c r="AE43">
        <f>IFERROR(IF(Karakterlap!$P$5="Váltott kaszt",IF(Karakterlap!$P$3=Adattábla!$L43,Karakterlap!$Y$3*5,IF(Karakterlap!$P$4=Adattábla!$L43,(Karakterlap!$Y$4-Adattábla!$I$20)*5,5)),VLOOKUP(Adattábla!$L43,Karakterlap!$P$3:$Z$4,10,FALSE)*5),5)</f>
        <v>5</v>
      </c>
      <c r="AF43">
        <f>IFERROR(IF(Karakterlap!$P$5="Váltott kaszt",IF(Karakterlap!$P$3=Adattábla!$L43,Karakterlap!$Y$3*5,IF(Karakterlap!$P$4=Adattábla!$L43,(Karakterlap!$Y$4-Adattábla!$I$20)*5,5)),VLOOKUP(Adattábla!$L43,Karakterlap!$P$3:$Z$4,10,FALSE)*5),5)</f>
        <v>5</v>
      </c>
      <c r="AG43">
        <v>4</v>
      </c>
      <c r="AH43">
        <f>IF(Karakterlap!$P$5="Iker kaszt",IF(Karakterlap!$P$3=L43,IFERROR((Karakterlap!$P$6*7)+(VLOOKUP(L43,Karakterlap!$P$3:$Z$4,10,FALSE)-Karakterlap!$P$6),7),IF(Karakterlap!$P$4=L43,VLOOKUP(L43,Karakterlap!$P$3:$Z$4,10,FALSE),7)),IF(Karakterlap!$P$5="Váltott kaszt",IF(L43=Karakterlap!$P$3,(Karakterlap!$Y$3+3)*7,VLOOKUP(L43,Karakterlap!$P$3:$Z$4,10,FALSE)*7),IFERROR(VLOOKUP(L43,Karakterlap!$P$3:$Z$4,10,FALSE)*7,7)))</f>
        <v>7</v>
      </c>
      <c r="AI43">
        <v>0</v>
      </c>
      <c r="AJ43">
        <v>7</v>
      </c>
      <c r="AK43">
        <v>6</v>
      </c>
      <c r="AL43">
        <f>IFERROR(VLOOKUP(L43,Karakterlap!$P$3:$Z$4,10,FALSE)*($E$18+5),$E$18+5)</f>
        <v>11</v>
      </c>
      <c r="AN43" t="str">
        <f>IFERROR(IF(VLOOKUP("Lovag",Karakterlap!$P$3:$Z$4,10,FALSE)&gt;=4,IF(VLOOKUP("Lovag",Karakterlap!$P$3:$Z$4,10,FALSE)&gt;=12,"Pyarroni Mf","Pyarroni Af"),""),"más kaszt")</f>
        <v>más kaszt</v>
      </c>
      <c r="AO43" t="str">
        <f>IFERROR(IF(VLOOKUP(L43,Karakterlap!$P$3:$Z$4,10,FALSE)&gt;=4,IF(VLOOKUP(L43,Karakterlap!$P$3:$Z$4,10,FALSE)&gt;=12,29+(IF(Karakterlap!$F$9&gt;10,Karakterlap!$F$9-10,0))+((VLOOKUP(L43,Karakterlap!$P$3:$Z$4,10,FALSE)-12)*4),4+(IF(Karakterlap!$F$9&gt;10,Karakterlap!$F$9-10,0))+((VLOOKUP(L43,Karakterlap!$P$3:$Z$4,10,FALSE)-4)*3)),""),"más kaszt")</f>
        <v>más kaszt</v>
      </c>
      <c r="BA43">
        <f>IFERROR(IF(Karakterlap!$P$6&gt;13,110001+((Karakterlap!$P$6-13)*35000),110001),110001)</f>
        <v>110001</v>
      </c>
      <c r="BB43" s="36">
        <f>VLOOKUP("k6+12",$I$2:$J$11,2,FALSE)+IFERROR(VLOOKUP(Karakterlap!$V$7,$A$24:$C$33,3,FALSE),0)</f>
        <v>16</v>
      </c>
      <c r="BC43" s="36">
        <f>VLOOKUP("k10+8",$I$2:$J$11,2,FALSE)+IFERROR(VLOOKUP(Karakterlap!$V$7,$A$24:$D$33,4,FALSE),0)</f>
        <v>14</v>
      </c>
      <c r="BD43" s="36">
        <f>VLOOKUP("3k6(2x)",$I$2:$J$11,2,FALSE)+IFERROR(VLOOKUP(Karakterlap!$V$7,$A$24:$E$33,5,FALSE),0)</f>
        <v>11</v>
      </c>
      <c r="BE43" s="36">
        <f>VLOOKUP("3k6(2x)",$I$2:$J$11,2,FALSE)+IFERROR(VLOOKUP(Karakterlap!$V$7,$A$24:$F$33,6,FALSE),0)</f>
        <v>11</v>
      </c>
      <c r="BF43" s="48">
        <f>VLOOKUP("k10+10",$I$2:$J$11,2,FALSE)+IFERROR(VLOOKUP(Karakterlap!$V$7,$A$24:$G$33,7,FALSE),0)</f>
        <v>16</v>
      </c>
      <c r="BG43" s="36">
        <f>VLOOKUP("2k6+6",$I$2:$J$11,2,FALSE)+IFERROR(VLOOKUP(Karakterlap!$V$7,$A$24:$H$33,8,FALSE),0)</f>
        <v>13</v>
      </c>
      <c r="BH43" s="36">
        <f>VLOOKUP("2k6+6",$I$2:$J$11,2,FALSE)+IFERROR(VLOOKUP(Karakterlap!$V$7,$A$24:$I$33,9,FALSE),0)</f>
        <v>13</v>
      </c>
      <c r="BI43" s="36">
        <f>VLOOKUP("k10+8",$I$2:$J$11,2,FALSE)</f>
        <v>14</v>
      </c>
      <c r="BJ43" s="36">
        <f>VLOOKUP("3k6(2x)",$I$2:$J$11,2,FALSE)+IFERROR(VLOOKUP(Karakterlap!$V$7,$A$24:$J$33,10,FALSE),0)</f>
        <v>11</v>
      </c>
      <c r="BK43" s="36">
        <f>VLOOKUP("2k6+6",$I$2:$J$11,2,FALSE)</f>
        <v>13</v>
      </c>
      <c r="BL43" s="36">
        <f>IF((SUM(Karakterlap!$F$3:$F$12)-SUM(BB43:BK43))&lt;0,0,SUM(Karakterlap!$F$3:$F$12)-SUM(BB43:BK43))</f>
        <v>0</v>
      </c>
      <c r="BM43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43&gt;18,BI43,18))&gt;0,Karakterlap!$F$10-IF(BI43&gt;18,BI43,18),0),0)+IF(Karakterlap!$F$11&gt;(18+IFERROR(VLOOKUP(Karakterlap!$V$7,$A$24:$J$33,10,FALSE),0)),(Karakterlap!$F$11-(18+IFERROR(VLOOKUP(Karakterlap!$V$7,$A$24:$J$33,10,FALSE),0))),0)+IF(Karakterlap!$F$12&gt;18,IF((Karakterlap!$F$12-IF(BK43&gt;18,BK43,18))&gt;0,Karakterlap!$F$12-IF(BK43&gt;18,BK43,18),0),0)</f>
        <v>#VALUE!</v>
      </c>
      <c r="BN43" t="s">
        <v>977</v>
      </c>
      <c r="BO43" t="s">
        <v>977</v>
      </c>
      <c r="BS43" t="s">
        <v>977</v>
      </c>
      <c r="BW43" s="5"/>
      <c r="BX43" s="97" t="s">
        <v>192</v>
      </c>
      <c r="BY43" s="97" t="s">
        <v>190</v>
      </c>
      <c r="BZ43" s="97" t="s">
        <v>187</v>
      </c>
      <c r="CA43" s="97" t="s">
        <v>187</v>
      </c>
      <c r="CB43" s="97" t="s">
        <v>193</v>
      </c>
      <c r="CC43" s="97" t="s">
        <v>189</v>
      </c>
      <c r="CD43" s="97" t="s">
        <v>189</v>
      </c>
      <c r="CE43" s="97" t="s">
        <v>190</v>
      </c>
      <c r="CF43" s="97" t="s">
        <v>187</v>
      </c>
      <c r="CG43" s="97" t="s">
        <v>189</v>
      </c>
    </row>
    <row r="44" spans="1:85" x14ac:dyDescent="0.2">
      <c r="A44" t="s">
        <v>872</v>
      </c>
      <c r="C44" t="s">
        <v>894</v>
      </c>
      <c r="F44" s="37" t="s">
        <v>189</v>
      </c>
      <c r="G44" s="4">
        <v>8</v>
      </c>
      <c r="H44" s="38">
        <v>18</v>
      </c>
      <c r="L44" t="s">
        <v>57</v>
      </c>
      <c r="M44">
        <v>0</v>
      </c>
      <c r="N44">
        <v>101</v>
      </c>
      <c r="O44">
        <v>203</v>
      </c>
      <c r="P44">
        <v>401</v>
      </c>
      <c r="Q44">
        <v>803</v>
      </c>
      <c r="R44">
        <v>1701</v>
      </c>
      <c r="S44">
        <v>4501</v>
      </c>
      <c r="T44">
        <v>9001</v>
      </c>
      <c r="U44">
        <v>22001</v>
      </c>
      <c r="V44">
        <v>46501</v>
      </c>
      <c r="W44">
        <v>68501</v>
      </c>
      <c r="X44">
        <v>98001</v>
      </c>
      <c r="Y44">
        <f>IFERROR(IF(VLOOKUP(L44,Karakterlap!$P$3:$Z$4,10,FALSE)&gt;13,131501+((VLOOKUP(L44,Karakterlap!$P$3:$Z$4,10,FALSE)-13)*33500),131501),131501)</f>
        <v>131501</v>
      </c>
      <c r="Z44">
        <v>8</v>
      </c>
      <c r="AA44">
        <v>17</v>
      </c>
      <c r="AB44">
        <v>72</v>
      </c>
      <c r="AC44">
        <v>10</v>
      </c>
      <c r="AD44">
        <f>IFERROR(VLOOKUP(L44,Karakterlap!$P$3:$Z$4,10,FALSE)*6,6)</f>
        <v>6</v>
      </c>
      <c r="AE44">
        <f>IFERROR(IF(Karakterlap!$P$5="Váltott kaszt",IF(Karakterlap!$P$3=Adattábla!$L44,Karakterlap!$Y$3*1,IF(Karakterlap!$P$4=Adattábla!$L44,(Karakterlap!$Y$4-Adattábla!$I$20)*1,1)),VLOOKUP(Adattábla!$L44,Karakterlap!$P$3:$Z$4,10,FALSE)*1),1)</f>
        <v>1</v>
      </c>
      <c r="AF44">
        <f>IFERROR(IF(Karakterlap!$P$5="Váltott kaszt",IF(Karakterlap!$P$3=Adattábla!$L44,Karakterlap!$Y$3*1,IF(Karakterlap!$P$4=Adattábla!$L44,(Karakterlap!$Y$4-Adattábla!$I$20)*1,1)),VLOOKUP(Adattábla!$L44,Karakterlap!$P$3:$Z$4,10,FALSE)*1),1)</f>
        <v>1</v>
      </c>
      <c r="AG44">
        <v>8</v>
      </c>
      <c r="AH44">
        <f>IF(Karakterlap!$P$5="Iker kaszt",IF(Karakterlap!$P$3=L44,IFERROR((Karakterlap!$P$6*10)+(VLOOKUP(L44,Karakterlap!$P$3:$Z$4,10,FALSE)-Karakterlap!$P$6),10),IF(Karakterlap!$P$4=L44,VLOOKUP(L44,Karakterlap!$P$3:$Z$4,10,FALSE),10)),IF(Karakterlap!$P$5="Váltott kaszt",IF(L44=Karakterlap!$P$3,(Karakterlap!$Y$3+3)*10,VLOOKUP(L44,Karakterlap!$P$3:$Z$4,10,FALSE)*10),IFERROR(VLOOKUP(L44,Karakterlap!$P$3:$Z$4,10,FALSE)*10,10)))</f>
        <v>10</v>
      </c>
      <c r="AI44">
        <f>IFERROR(IF(Karakterlap!$P$5="Váltott kaszt",IF(L44=Karakterlap!$P$3,Karakterlap!$P$6*62,VLOOKUP(L44,Karakterlap!$P$3:$Z$4,10,FALSE)*62),VLOOKUP(L44,Karakterlap!$P$3:$Z$4,10,FALSE)*62),62)</f>
        <v>62</v>
      </c>
      <c r="AJ44">
        <v>4</v>
      </c>
      <c r="AK44">
        <v>5</v>
      </c>
      <c r="AL44">
        <f>IFERROR(VLOOKUP(L44,Karakterlap!$P$3:$Z$4,10,FALSE)*($E$18+3),$E$18+3)</f>
        <v>9</v>
      </c>
      <c r="AN44" t="s">
        <v>98</v>
      </c>
      <c r="AQ44" s="14">
        <v>45</v>
      </c>
      <c r="AR44" s="14">
        <v>15</v>
      </c>
      <c r="AS44" s="14">
        <v>10</v>
      </c>
      <c r="AT44" s="14">
        <v>30</v>
      </c>
      <c r="AU44" s="14">
        <v>15</v>
      </c>
      <c r="AV44" s="14">
        <v>25</v>
      </c>
      <c r="AW44" s="14">
        <v>35</v>
      </c>
      <c r="AX44" s="14">
        <v>25</v>
      </c>
      <c r="AY44" s="14">
        <v>25</v>
      </c>
      <c r="AZ44" s="14">
        <v>15</v>
      </c>
      <c r="BA44">
        <f>IFERROR(IF(Karakterlap!$P$6&gt;13,131501+((Karakterlap!$P$6-13)*33500),131501),131501)</f>
        <v>131501</v>
      </c>
      <c r="BB44" s="36">
        <f>VLOOKUP("3k6(2x)",$I$2:$J$11,2,FALSE)+IFERROR(VLOOKUP(Karakterlap!$V$7,$A$24:$C$33,3,FALSE),0)</f>
        <v>11</v>
      </c>
      <c r="BC44" s="36">
        <f>VLOOKUP("3k6(2x)",$I$2:$J$11,2,FALSE)+IFERROR(VLOOKUP(Karakterlap!$V$7,$A$24:$D$33,4,FALSE),0)</f>
        <v>11</v>
      </c>
      <c r="BD44" s="36">
        <f>VLOOKUP("k10+8",$I$2:$J$11,2,FALSE)+IFERROR(VLOOKUP(Karakterlap!$V$7,$A$24:$E$33,5,FALSE),0)</f>
        <v>14</v>
      </c>
      <c r="BE44" s="36">
        <f>VLOOKUP("k6+12",$I$2:$J$11,2,FALSE)+IFERROR(VLOOKUP(Karakterlap!$V$7,$A$24:$F$33,6,FALSE),0)</f>
        <v>16</v>
      </c>
      <c r="BF44" s="36">
        <f>VLOOKUP("3k6(2x)",$I$2:$J$11,2,FALSE)+IFERROR(VLOOKUP(Karakterlap!$V$7,$A$24:$G$33,7,FALSE),0)</f>
        <v>11</v>
      </c>
      <c r="BG44" s="36">
        <f>VLOOKUP("2k6+6",$I$2:$J$11,2,FALSE)+IFERROR(VLOOKUP(Karakterlap!$V$7,$A$24:$H$33,8,FALSE),0)</f>
        <v>13</v>
      </c>
      <c r="BH44" s="36">
        <f>VLOOKUP("2k6+6",$I$2:$J$11,2,FALSE)+IFERROR(VLOOKUP(Karakterlap!$V$7,$A$24:$I$33,9,FALSE),0)</f>
        <v>13</v>
      </c>
      <c r="BI44" s="36">
        <f>VLOOKUP("3k6",$I$2:$J$11,2,FALSE)</f>
        <v>10</v>
      </c>
      <c r="BJ44" s="36">
        <f>VLOOKUP("3k6(2x)",$I$2:$J$11,2,FALSE)+IFERROR(VLOOKUP(Karakterlap!$V$7,$A$24:$J$33,10,FALSE),0)</f>
        <v>11</v>
      </c>
      <c r="BK44" s="36">
        <f>VLOOKUP("k6+12",$I$2:$J$11,2,FALSE)</f>
        <v>16</v>
      </c>
      <c r="BL44" s="36">
        <f>IF((SUM(Karakterlap!$F$3:$F$12)-SUM(BB44:BK44))&lt;0,0,SUM(Karakterlap!$F$3:$F$12)-SUM(BB44:BK44))</f>
        <v>0</v>
      </c>
      <c r="BM44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44&gt;18,BI44,18))&gt;0,Karakterlap!$F$10-IF(BI44&gt;18,BI44,18),0),0)+IF(Karakterlap!$F$11&gt;(18+IFERROR(VLOOKUP(Karakterlap!$V$7,$A$24:$J$33,10,FALSE),0)),(Karakterlap!$F$11-(18+IFERROR(VLOOKUP(Karakterlap!$V$7,$A$24:$J$33,10,FALSE),0))),0)+IF(Karakterlap!$F$12&gt;18,IF((Karakterlap!$F$12-IF(BK44&gt;18,BK44,18))&gt;0,Karakterlap!$F$12-IF(BK44&gt;18,BK44,18),0),0)</f>
        <v>#VALUE!</v>
      </c>
      <c r="BP44" t="s">
        <v>977</v>
      </c>
      <c r="BQ44" t="s">
        <v>977</v>
      </c>
      <c r="BW44" s="5"/>
      <c r="BX44" s="97" t="s">
        <v>187</v>
      </c>
      <c r="BY44" s="97" t="s">
        <v>187</v>
      </c>
      <c r="BZ44" s="97" t="s">
        <v>190</v>
      </c>
      <c r="CA44" s="97" t="s">
        <v>192</v>
      </c>
      <c r="CB44" s="97" t="s">
        <v>187</v>
      </c>
      <c r="CC44" s="97" t="s">
        <v>189</v>
      </c>
      <c r="CD44" s="97" t="s">
        <v>189</v>
      </c>
      <c r="CE44" s="97" t="s">
        <v>186</v>
      </c>
      <c r="CF44" s="97" t="s">
        <v>187</v>
      </c>
      <c r="CG44" s="97" t="s">
        <v>192</v>
      </c>
    </row>
    <row r="45" spans="1:85" x14ac:dyDescent="0.2">
      <c r="A45" t="s">
        <v>873</v>
      </c>
      <c r="C45" t="s">
        <v>895</v>
      </c>
      <c r="F45" s="37" t="s">
        <v>190</v>
      </c>
      <c r="G45" s="4">
        <v>9</v>
      </c>
      <c r="H45" s="38">
        <v>18</v>
      </c>
      <c r="L45" t="s">
        <v>58</v>
      </c>
      <c r="M45">
        <v>0</v>
      </c>
      <c r="N45">
        <v>171</v>
      </c>
      <c r="O45">
        <v>351</v>
      </c>
      <c r="P45">
        <v>1001</v>
      </c>
      <c r="Q45">
        <v>2201</v>
      </c>
      <c r="R45">
        <v>4401</v>
      </c>
      <c r="S45">
        <v>7501</v>
      </c>
      <c r="T45">
        <v>15001</v>
      </c>
      <c r="U45">
        <v>30001</v>
      </c>
      <c r="V45">
        <v>55001</v>
      </c>
      <c r="W45">
        <v>75001</v>
      </c>
      <c r="X45">
        <v>95001</v>
      </c>
      <c r="Y45">
        <f>IFERROR(IF(VLOOKUP(L45,Karakterlap!$P$3:$Z$4,10,FALSE)&gt;13,145001+((VLOOKUP(L45,Karakterlap!$P$3:$Z$4,10,FALSE)-13)*40000),145001),145001)</f>
        <v>145001</v>
      </c>
      <c r="Z45">
        <v>10</v>
      </c>
      <c r="AA45">
        <v>20</v>
      </c>
      <c r="AB45">
        <v>75</v>
      </c>
      <c r="AC45">
        <v>10</v>
      </c>
      <c r="AD45">
        <f>IFERROR(VLOOKUP(L45,Karakterlap!$P$3:$Z$4,10,FALSE)*9,9)</f>
        <v>9</v>
      </c>
      <c r="AE45">
        <f>IFERROR(IF(Karakterlap!$P$5="Váltott kaszt",IF(Karakterlap!$P$3=Adattábla!$L45,Karakterlap!$Y$3*2,IF(Karakterlap!$P$4=Adattábla!$L45,(Karakterlap!$Y$4-Adattábla!$I$20)*2,2)),VLOOKUP(Adattábla!$L45,Karakterlap!$P$3:$Z$4,10,FALSE)*2),2)</f>
        <v>2</v>
      </c>
      <c r="AF45">
        <f>IFERROR(IF(Karakterlap!$P$5="Váltott kaszt",IF(Karakterlap!$P$3=Adattábla!$L45,Karakterlap!$Y$3*2,IF(Karakterlap!$P$4=Adattábla!$L45,(Karakterlap!$Y$4-Adattábla!$I$20)*2,2)),VLOOKUP(Adattábla!$L45,Karakterlap!$P$3:$Z$4,10,FALSE)*2),2)</f>
        <v>2</v>
      </c>
      <c r="AG45">
        <v>4</v>
      </c>
      <c r="AH45">
        <f>IF(Karakterlap!$P$5="Iker kaszt",IF(Karakterlap!$P$3=L45,IFERROR((Karakterlap!$P$6*6)+(VLOOKUP(L45,Karakterlap!$P$3:$Z$4,10,FALSE)-Karakterlap!$P$6),6),IF(Karakterlap!$P$4=L45,VLOOKUP(L45,Karakterlap!$P$3:$Z$4,10,FALSE),6)),IF(Karakterlap!$P$5="Váltott kaszt",IF(L45=Karakterlap!$P$3,(Karakterlap!$Y$3+3)*6,VLOOKUP(L45,Karakterlap!$P$3:$Z$4,10,FALSE)*6),IFERROR(VLOOKUP(L45,Karakterlap!$P$3:$Z$4,10,FALSE)*6,6)))</f>
        <v>6</v>
      </c>
      <c r="AI45">
        <f>IFERROR(IF(Karakterlap!$P$5="Váltott kaszt",IF(L45=Karakterlap!$P$3,Karakterlap!$P$6*45,VLOOKUP(L45,Karakterlap!$P$3:$Z$4,10,FALSE)*45),VLOOKUP(L45,Karakterlap!$P$3:$Z$4,10,FALSE)*45),45)</f>
        <v>45</v>
      </c>
      <c r="AJ45">
        <v>5</v>
      </c>
      <c r="AK45">
        <v>6</v>
      </c>
      <c r="AL45">
        <f>IFERROR(VLOOKUP(L45,Karakterlap!$P$3:$Z$4,10,FALSE)*($E$18+3),$E$18+3)</f>
        <v>9</v>
      </c>
      <c r="AM45">
        <f>IFERROR(VLOOKUP(L45,Karakterlap!$P$3:$Z$4,10,FALSE)*(IF(Karakterlap!$F$9&gt;10,Karakterlap!$F$9-10,0)),0)</f>
        <v>0</v>
      </c>
      <c r="AN45" t="s">
        <v>92</v>
      </c>
      <c r="AO45" t="str">
        <f>IFERROR((IF(Karakterlap!$F$9&gt;10,Karakterlap!$F$9-10,0))+5+((VLOOKUP(L45,Karakterlap!$P$3:$Z$4,10,FALSE)-1)*4),"más kaszt")</f>
        <v>más kaszt</v>
      </c>
      <c r="AQ45" s="14">
        <v>25</v>
      </c>
      <c r="AR45" s="14">
        <v>5</v>
      </c>
      <c r="AS45" s="14">
        <v>10</v>
      </c>
      <c r="AT45" s="14">
        <v>20</v>
      </c>
      <c r="AU45" s="14">
        <v>10</v>
      </c>
      <c r="AV45" s="14">
        <v>5</v>
      </c>
      <c r="AW45" s="14">
        <v>5</v>
      </c>
      <c r="AX45" s="14">
        <v>10</v>
      </c>
      <c r="AZ45" s="14">
        <v>5</v>
      </c>
      <c r="BA45">
        <f>IFERROR(IF(Karakterlap!$P$6&gt;13,145001+((Karakterlap!$P$6-13)*40000),145001),145001)</f>
        <v>145001</v>
      </c>
      <c r="BB45" s="36">
        <f>VLOOKUP("k10+8",$I$2:$J$11,2,FALSE)+IFERROR(VLOOKUP(Karakterlap!$V$7,$A$24:$C$33,3,FALSE),0)</f>
        <v>14</v>
      </c>
      <c r="BC45" s="36">
        <f>VLOOKUP("2k6+6",$I$2:$J$11,2,FALSE)+IFERROR(VLOOKUP(Karakterlap!$V$7,$A$24:$D$33,4,FALSE),0)</f>
        <v>13</v>
      </c>
      <c r="BD45" s="36">
        <f>VLOOKUP("k10+8",$I$2:$J$11,2,FALSE)+IFERROR(VLOOKUP(Karakterlap!$V$7,$A$24:$E$33,5,FALSE),0)</f>
        <v>14</v>
      </c>
      <c r="BE45" s="36">
        <f>VLOOKUP("k10+8",$I$2:$J$11,2,FALSE)+IFERROR(VLOOKUP(Karakterlap!$V$7,$A$24:$F$33,6,FALSE),0)</f>
        <v>14</v>
      </c>
      <c r="BF45" s="36">
        <f>VLOOKUP("2k6+6",$I$2:$J$11,2,FALSE)+IFERROR(VLOOKUP(Karakterlap!$V$7,$A$24:$G$33,7,FALSE),0)</f>
        <v>13</v>
      </c>
      <c r="BG45" s="36">
        <f>VLOOKUP("k6+12",$I$2:$J$11,2,FALSE)+IFERROR(VLOOKUP(Karakterlap!$V$7,$A$24:$H$33,8,FALSE),0)</f>
        <v>16</v>
      </c>
      <c r="BH45" s="36">
        <f>VLOOKUP("k10+8(2x)",$I$2:$J$11,2,FALSE)+IFERROR(VLOOKUP(Karakterlap!$V$7,$A$24:$I$33,9,FALSE),0)</f>
        <v>15</v>
      </c>
      <c r="BI45" s="36">
        <f>VLOOKUP("2k6+6",$I$2:$J$11,2,FALSE)</f>
        <v>13</v>
      </c>
      <c r="BJ45" s="36">
        <f>VLOOKUP("k10+8",$I$2:$J$11,2,FALSE)+IFERROR(VLOOKUP(Karakterlap!$V$7,$A$24:$J$33,10,FALSE),0)</f>
        <v>14</v>
      </c>
      <c r="BK45" s="36">
        <f>VLOOKUP("k10+8",$I$2:$J$11,2,FALSE)</f>
        <v>14</v>
      </c>
      <c r="BL45" s="36">
        <f>IF((SUM(Karakterlap!$F$3:$F$12)-SUM(BB45:BK45))&lt;0,0,SUM(Karakterlap!$F$3:$F$12)-SUM(BB45:BK45))</f>
        <v>0</v>
      </c>
      <c r="BM45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45&gt;18,BI45,18))&gt;0,Karakterlap!$F$10-IF(BI45&gt;18,BI45,18),0),0)+IF(Karakterlap!$F$11&gt;(18+IFERROR(VLOOKUP(Karakterlap!$V$7,$A$24:$J$33,10,FALSE),0)),(Karakterlap!$F$11-(18+IFERROR(VLOOKUP(Karakterlap!$V$7,$A$24:$J$33,10,FALSE),0))),0)+IF(Karakterlap!$F$12&gt;18,IF((Karakterlap!$F$12-IF(BK45&gt;18,BK45,18))&gt;0,Karakterlap!$F$12-IF(BK45&gt;18,BK45,18),0),0)</f>
        <v>#VALUE!</v>
      </c>
      <c r="BP45" t="s">
        <v>977</v>
      </c>
      <c r="BS45" t="s">
        <v>977</v>
      </c>
      <c r="BW45" s="5"/>
      <c r="BX45" s="97" t="s">
        <v>190</v>
      </c>
      <c r="BY45" s="97" t="s">
        <v>189</v>
      </c>
      <c r="BZ45" s="97" t="s">
        <v>190</v>
      </c>
      <c r="CA45" s="97" t="s">
        <v>190</v>
      </c>
      <c r="CB45" s="97" t="s">
        <v>189</v>
      </c>
      <c r="CC45" s="97" t="s">
        <v>192</v>
      </c>
      <c r="CD45" s="97" t="s">
        <v>191</v>
      </c>
      <c r="CE45" s="97" t="s">
        <v>189</v>
      </c>
      <c r="CF45" s="97" t="s">
        <v>190</v>
      </c>
      <c r="CG45" s="97" t="s">
        <v>190</v>
      </c>
    </row>
    <row r="46" spans="1:85" x14ac:dyDescent="0.2">
      <c r="A46" t="s">
        <v>874</v>
      </c>
      <c r="C46" t="s">
        <v>896</v>
      </c>
      <c r="F46" s="37" t="s">
        <v>191</v>
      </c>
      <c r="G46" s="4">
        <v>9</v>
      </c>
      <c r="H46" s="38">
        <v>18</v>
      </c>
      <c r="L46" s="8" t="s">
        <v>59</v>
      </c>
      <c r="M46" s="8">
        <v>0</v>
      </c>
      <c r="N46" s="8">
        <v>161</v>
      </c>
      <c r="O46" s="8">
        <v>331</v>
      </c>
      <c r="P46" s="8">
        <v>661</v>
      </c>
      <c r="Q46" s="8">
        <v>1301</v>
      </c>
      <c r="R46" s="8">
        <v>2601</v>
      </c>
      <c r="S46" s="8">
        <v>5001</v>
      </c>
      <c r="T46" s="8">
        <v>9001</v>
      </c>
      <c r="U46" s="8">
        <v>23001</v>
      </c>
      <c r="V46" s="8">
        <v>50001</v>
      </c>
      <c r="W46" s="8">
        <v>90001</v>
      </c>
      <c r="X46" s="8">
        <v>130001</v>
      </c>
      <c r="Y46" s="8">
        <f>IFERROR(IF(VLOOKUP(L46,Karakterlap!$P$3:$Z$4,10,FALSE)&gt;13,165001+((VLOOKUP(L46,Karakterlap!$P$3:$Z$4,10,FALSE)-13)*50000),165001),165001)</f>
        <v>165001</v>
      </c>
      <c r="Z46" s="8">
        <v>5</v>
      </c>
      <c r="AA46" s="8">
        <v>17</v>
      </c>
      <c r="AB46" s="8">
        <v>72</v>
      </c>
      <c r="AC46" s="8">
        <v>0</v>
      </c>
      <c r="AD46" s="8">
        <f>IFERROR(VLOOKUP(L46,Karakterlap!$P$3:$Z$4,10,FALSE)*8,8)</f>
        <v>8</v>
      </c>
      <c r="AE46" s="8">
        <f>IFERROR(IF(Karakterlap!$P$5="Váltott kaszt",IF(Karakterlap!$P$3=Adattábla!$L46,Karakterlap!$Y$3*3,IF(Karakterlap!$P$4=Adattábla!$L46,(Karakterlap!$Y$4-Adattábla!$I$20)*3,3)),VLOOKUP(Adattábla!$L46,Karakterlap!$P$3:$Z$4,10,FALSE)*3),3)</f>
        <v>3</v>
      </c>
      <c r="AF46" s="8">
        <f>IFERROR(IF(Karakterlap!$P$5="Váltott kaszt",IF(Karakterlap!$P$3=Adattábla!$L46,Karakterlap!$Y$3*3,IF(Karakterlap!$P$4=Adattábla!$L46,(Karakterlap!$Y$4-Adattábla!$I$20)*3,3)),VLOOKUP(Adattábla!$L46,Karakterlap!$P$3:$Z$4,10,FALSE)*3),3)</f>
        <v>3</v>
      </c>
      <c r="AG46" s="8">
        <v>6</v>
      </c>
      <c r="AH46" s="8">
        <f>IF(Karakterlap!$P$5="Iker kaszt",IF(Karakterlap!$P$3=L46,IFERROR((Karakterlap!$P$6*10)+(VLOOKUP(L46,Karakterlap!$P$3:$Z$4,10,FALSE)-Karakterlap!$P$6),10),IF(Karakterlap!$P$4=L46,VLOOKUP(L46,Karakterlap!$P$3:$Z$4,10,FALSE),10)),IF(Karakterlap!$P$5="Váltott kaszt",IF(L46=Karakterlap!$P$3,(Karakterlap!$Y$3+3)*10,VLOOKUP(L46,Karakterlap!$P$3:$Z$4,10,FALSE)*10),IFERROR(VLOOKUP(L46,Karakterlap!$P$3:$Z$4,10,FALSE)*10,10)))</f>
        <v>10</v>
      </c>
      <c r="AI46" s="8">
        <v>0</v>
      </c>
      <c r="AJ46" s="8">
        <v>6</v>
      </c>
      <c r="AK46" s="8">
        <v>6</v>
      </c>
      <c r="AL46" s="8">
        <f>IFERROR(VLOOKUP(L46,Karakterlap!$P$3:$Z$4,10,FALSE)*($E$18+2),$E$18+2)</f>
        <v>8</v>
      </c>
      <c r="AM46" s="8">
        <f>IFERROR(IF(VLOOKUP(L46,Karakterlap!$P$3:$Z$4,10,FALSE)&gt;1,9+((VLOOKUP(L46,Karakterlap!$P$3:$Z$4,10,FALSE)-1)*((ROUND($E$18/2,0))+6)),9),9)</f>
        <v>9</v>
      </c>
      <c r="AN46" t="s">
        <v>92</v>
      </c>
      <c r="AO46" t="str">
        <f>IFERROR((IF(Karakterlap!$F$9&gt;10,Karakterlap!$F$9-10,0))+5+((VLOOKUP(L46,Karakterlap!$P$3:$Z$4,10,FALSE)-1)*4),"más kaszt")</f>
        <v>más kaszt</v>
      </c>
      <c r="BA46" s="8">
        <f>IFERROR(IF(Karakterlap!$P$6&gt;13,165001+((Karakterlap!$P$6-13)*50000),165001),165001)</f>
        <v>165001</v>
      </c>
      <c r="BB46" s="36">
        <f>VLOOKUP("2k6+6",$I$2:$J$11,2,FALSE)+IFERROR(VLOOKUP(Karakterlap!$V$7,$A$24:$C$33,3,FALSE),0)</f>
        <v>13</v>
      </c>
      <c r="BC46" s="36">
        <f>VLOOKUP("2k6+6",$I$2:$J$11,2,FALSE)+IFERROR(VLOOKUP(Karakterlap!$V$7,$A$24:$D$33,4,FALSE),0)</f>
        <v>13</v>
      </c>
      <c r="BD46" s="36">
        <f>VLOOKUP("3k6(2x)",$I$2:$J$11,2,FALSE)+IFERROR(VLOOKUP(Karakterlap!$V$7,$A$24:$E$33,5,FALSE),0)</f>
        <v>11</v>
      </c>
      <c r="BE46" s="36">
        <f>VLOOKUP("3k6(2x)",$I$2:$J$11,2,FALSE)+IFERROR(VLOOKUP(Karakterlap!$V$7,$A$24:$F$33,6,FALSE),0)</f>
        <v>11</v>
      </c>
      <c r="BF46" s="36">
        <f>VLOOKUP("k10+8",$I$2:$J$11,2,FALSE)+IFERROR(VLOOKUP(Karakterlap!$V$7,$A$24:$G$33,7,FALSE),0)</f>
        <v>14</v>
      </c>
      <c r="BG46" s="48">
        <f>VLOOKUP("k10+10",$I$2:$J$11,2,FALSE)+IFERROR(VLOOKUP(Karakterlap!$V$7,$A$24:$H$33,8,FALSE),0)</f>
        <v>16</v>
      </c>
      <c r="BH46" s="36">
        <f>VLOOKUP("k10+8",$I$2:$J$11,2,FALSE)+IFERROR(VLOOKUP(Karakterlap!$V$7,$A$24:$I$33,9,FALSE),0)</f>
        <v>14</v>
      </c>
      <c r="BI46" s="36">
        <f>VLOOKUP("k10+8",$I$2:$J$11,2,FALSE)</f>
        <v>14</v>
      </c>
      <c r="BJ46" s="36">
        <f>VLOOKUP("k6+12",$I$2:$J$11,2,FALSE)+IFERROR(VLOOKUP(Karakterlap!$V$7,$A$24:$J$33,10,FALSE),0)</f>
        <v>16</v>
      </c>
      <c r="BK46" s="36">
        <f>VLOOKUP("k10+8",$I$2:$J$11,2,FALSE)</f>
        <v>14</v>
      </c>
      <c r="BL46" s="36">
        <f>IF((SUM(Karakterlap!$F$3:$F$12)-SUM(BB46:BK46))&lt;0,0,SUM(Karakterlap!$F$3:$F$12)-SUM(BB46:BK46))</f>
        <v>0</v>
      </c>
      <c r="BM46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46&gt;18,BI46,18))&gt;0,Karakterlap!$F$10-IF(BI46&gt;18,BI46,18),0),0)+IF(Karakterlap!$F$11&gt;(18+IFERROR(VLOOKUP(Karakterlap!$V$7,$A$24:$J$33,10,FALSE),0)),(Karakterlap!$F$11-(18+IFERROR(VLOOKUP(Karakterlap!$V$7,$A$24:$J$33,10,FALSE),0))),0)+IF(Karakterlap!$F$12&gt;18,IF((Karakterlap!$F$12-IF(BK46&gt;18,BK46,18))&gt;0,Karakterlap!$F$12-IF(BK46&gt;18,BK46,18),0),0)</f>
        <v>#VALUE!</v>
      </c>
      <c r="BU46" t="s">
        <v>977</v>
      </c>
      <c r="BV46" t="s">
        <v>977</v>
      </c>
      <c r="BW46" s="5"/>
      <c r="BX46" s="97" t="s">
        <v>189</v>
      </c>
      <c r="BY46" s="97" t="s">
        <v>189</v>
      </c>
      <c r="BZ46" s="97" t="s">
        <v>187</v>
      </c>
      <c r="CA46" s="97" t="s">
        <v>187</v>
      </c>
      <c r="CB46" s="97" t="s">
        <v>190</v>
      </c>
      <c r="CC46" s="97" t="s">
        <v>193</v>
      </c>
      <c r="CD46" s="97" t="s">
        <v>190</v>
      </c>
      <c r="CE46" s="97" t="s">
        <v>190</v>
      </c>
      <c r="CF46" s="97" t="s">
        <v>192</v>
      </c>
      <c r="CG46" s="97" t="s">
        <v>190</v>
      </c>
    </row>
    <row r="47" spans="1:85" x14ac:dyDescent="0.2">
      <c r="A47" t="s">
        <v>869</v>
      </c>
      <c r="C47" t="s">
        <v>930</v>
      </c>
      <c r="F47" s="37" t="s">
        <v>192</v>
      </c>
      <c r="G47" s="4">
        <v>13</v>
      </c>
      <c r="H47" s="38">
        <v>18</v>
      </c>
      <c r="L47" t="s">
        <v>775</v>
      </c>
      <c r="M47">
        <v>0</v>
      </c>
      <c r="N47">
        <v>231</v>
      </c>
      <c r="O47">
        <v>501</v>
      </c>
      <c r="P47">
        <v>1000</v>
      </c>
      <c r="Q47">
        <v>2201</v>
      </c>
      <c r="R47">
        <v>5001</v>
      </c>
      <c r="S47">
        <v>10001</v>
      </c>
      <c r="T47">
        <v>18001</v>
      </c>
      <c r="U47">
        <v>35001</v>
      </c>
      <c r="V47">
        <v>70001</v>
      </c>
      <c r="W47">
        <v>150001</v>
      </c>
      <c r="X47">
        <v>200001</v>
      </c>
      <c r="Y47" s="9">
        <f>IFERROR(IF(VLOOKUP(L47,Karakterlap!$P$3:$Z$4,10,FALSE)&gt;13,300001+((VLOOKUP(L47,Karakterlap!$P$3:$Z$4,10,FALSE)-13)*80000),300001),300001)</f>
        <v>300001</v>
      </c>
      <c r="Z47">
        <v>4</v>
      </c>
      <c r="AA47">
        <v>15</v>
      </c>
      <c r="AB47">
        <v>70</v>
      </c>
      <c r="AC47">
        <v>0</v>
      </c>
      <c r="AD47">
        <f>IFERROR(VLOOKUP(L47,Karakterlap!$P$3:$Z$4,10,FALSE)*6,6)</f>
        <v>6</v>
      </c>
      <c r="AE47">
        <f>IFERROR(IF(Karakterlap!$P$5="Váltott kaszt",IF(Karakterlap!$P$3=Adattábla!$L47,Karakterlap!$Y$3*2,IF(Karakterlap!$P$4=Adattábla!$L47,(Karakterlap!$Y$4-Adattábla!$I$20)*2,2)),VLOOKUP(Adattábla!$L47,Karakterlap!$P$3:$Z$4,10,FALSE)*2),2)</f>
        <v>2</v>
      </c>
      <c r="AF47">
        <f>IFERROR(IF(Karakterlap!$P$5="Váltott kaszt",IF(Karakterlap!$P$3=Adattábla!$L47,Karakterlap!$Y$3*2,IF(Karakterlap!$P$4=Adattábla!$L47,(Karakterlap!$Y$4-Adattábla!$I$20)*2,2)),VLOOKUP(Adattábla!$L47,Karakterlap!$P$3:$Z$4,10,FALSE)*2),2)</f>
        <v>2</v>
      </c>
      <c r="AG47">
        <v>6</v>
      </c>
      <c r="AH47">
        <f>IF(Karakterlap!$P$5="Iker kaszt",IF(Karakterlap!$P$3=L47,IFERROR((Karakterlap!$P$6*10)+(VLOOKUP(L47,Karakterlap!$P$3:$Z$4,10,FALSE)-Karakterlap!$P$6),10),IF(Karakterlap!$P$4=L47,VLOOKUP(L47,Karakterlap!$P$3:$Z$4,10,FALSE),10)),IF(Karakterlap!$P$5="Váltott kaszt",IF(L47=Karakterlap!$P$3,(Karakterlap!$Y$3+3)*10,VLOOKUP(L47,Karakterlap!$P$3:$Z$4,10,FALSE)*10),IFERROR(VLOOKUP(L47,Karakterlap!$P$3:$Z$4,10,FALSE)*10,10)))</f>
        <v>10</v>
      </c>
      <c r="AI47">
        <v>0</v>
      </c>
      <c r="AJ47">
        <v>6</v>
      </c>
      <c r="AK47">
        <v>6</v>
      </c>
      <c r="AL47">
        <f>IFERROR(VLOOKUP(L47,Karakterlap!$P$3:$Z$4,10,FALSE)*($E$18+2),$E$18+2)</f>
        <v>8</v>
      </c>
      <c r="AM47" s="9">
        <f>IFERROR(VLOOKUP(L47,Karakterlap!$P$3:$Z$4,10,FALSE)*9,0)</f>
        <v>0</v>
      </c>
      <c r="AN47" t="s">
        <v>92</v>
      </c>
      <c r="AO47" t="str">
        <f>IFERROR((IF(Karakterlap!$F$9&gt;10,Karakterlap!$F$9-10,0))+5+((VLOOKUP(L47,Karakterlap!$P$3:$Z$4,10,FALSE)-1)*4),"más kaszt")</f>
        <v>más kaszt</v>
      </c>
      <c r="BA47" s="9">
        <f>IFERROR(IF(Karakterlap!$P$6&gt;13,300001+((Karakterlap!$P$6-13)*80000),300001),300001)</f>
        <v>300001</v>
      </c>
      <c r="BB47" s="36">
        <f>VLOOKUP("2k6+6",$I$2:$J$11,2,FALSE)+IFERROR(VLOOKUP(Karakterlap!$V$7,$A$24:$C$33,3,FALSE),0)</f>
        <v>13</v>
      </c>
      <c r="BC47" s="36">
        <f>VLOOKUP("2k6+6",$I$2:$J$11,2,FALSE)+IFERROR(VLOOKUP(Karakterlap!$V$7,$A$24:$D$33,4,FALSE),0)</f>
        <v>13</v>
      </c>
      <c r="BD47" s="36">
        <f>VLOOKUP("3k6(2x)",$I$2:$J$11,2,FALSE)+IFERROR(VLOOKUP(Karakterlap!$V$7,$A$24:$E$33,5,FALSE),0)</f>
        <v>11</v>
      </c>
      <c r="BE47" s="36">
        <f>VLOOKUP("3k6(2x)",$I$2:$J$11,2,FALSE)+IFERROR(VLOOKUP(Karakterlap!$V$7,$A$24:$F$33,6,FALSE),0)</f>
        <v>11</v>
      </c>
      <c r="BF47" s="36">
        <f>VLOOKUP("k10+8",$I$2:$J$11,2,FALSE)+IFERROR(VLOOKUP(Karakterlap!$V$7,$A$24:$G$33,7,FALSE),0)</f>
        <v>14</v>
      </c>
      <c r="BG47" s="48">
        <f>VLOOKUP("k10+10",$I$2:$J$11,2,FALSE)+IFERROR(VLOOKUP(Karakterlap!$V$7,$A$24:$H$33,8,FALSE),0)</f>
        <v>16</v>
      </c>
      <c r="BH47" s="36">
        <f>VLOOKUP("k10+8",$I$2:$J$11,2,FALSE)+IFERROR(VLOOKUP(Karakterlap!$V$7,$A$24:$I$33,9,FALSE),0)</f>
        <v>14</v>
      </c>
      <c r="BI47" s="36">
        <f t="shared" ref="BI47:BI74" si="2">VLOOKUP("k10+8",$I$2:$J$11,2,FALSE)</f>
        <v>14</v>
      </c>
      <c r="BJ47" s="36">
        <f>VLOOKUP("k6+12",$I$2:$J$11,2,FALSE)+IFERROR(VLOOKUP(Karakterlap!$V$7,$A$24:$J$33,10,FALSE),0)</f>
        <v>16</v>
      </c>
      <c r="BK47" s="36">
        <f t="shared" ref="BK47:BK74" si="3">VLOOKUP("k10+8",$I$2:$J$11,2,FALSE)</f>
        <v>14</v>
      </c>
      <c r="BL47" s="36">
        <f>IF((SUM(Karakterlap!$F$3:$F$12)-SUM(BB47:BK47))&lt;0,0,SUM(Karakterlap!$F$3:$F$12)-SUM(BB47:BK47))</f>
        <v>0</v>
      </c>
      <c r="BM47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47&gt;18,BI47,18))&gt;0,Karakterlap!$F$10-IF(BI47&gt;18,BI47,18),0),0)+IF(Karakterlap!$F$11&gt;(18+IFERROR(VLOOKUP(Karakterlap!$V$7,$A$24:$J$33,10,FALSE),0)),(Karakterlap!$F$11-(18+IFERROR(VLOOKUP(Karakterlap!$V$7,$A$24:$J$33,10,FALSE),0))),0)+IF(Karakterlap!$F$12&gt;18,IF((Karakterlap!$F$12-IF(BK47&gt;18,BK47,18))&gt;0,Karakterlap!$F$12-IF(BK47&gt;18,BK47,18),0),0)</f>
        <v>#VALUE!</v>
      </c>
      <c r="BU47" t="s">
        <v>977</v>
      </c>
      <c r="BW47" s="5"/>
      <c r="BX47" s="97" t="s">
        <v>189</v>
      </c>
      <c r="BY47" s="97" t="s">
        <v>189</v>
      </c>
      <c r="BZ47" s="97" t="s">
        <v>187</v>
      </c>
      <c r="CA47" s="97" t="s">
        <v>187</v>
      </c>
      <c r="CB47" s="97" t="s">
        <v>190</v>
      </c>
      <c r="CC47" s="97" t="s">
        <v>193</v>
      </c>
      <c r="CD47" s="97" t="s">
        <v>190</v>
      </c>
      <c r="CE47" s="97" t="s">
        <v>190</v>
      </c>
      <c r="CF47" s="97" t="s">
        <v>192</v>
      </c>
      <c r="CG47" s="97" t="s">
        <v>190</v>
      </c>
    </row>
    <row r="48" spans="1:85" x14ac:dyDescent="0.2">
      <c r="A48" t="s">
        <v>875</v>
      </c>
      <c r="C48" t="s">
        <v>861</v>
      </c>
      <c r="F48" s="37" t="s">
        <v>193</v>
      </c>
      <c r="G48" s="4">
        <v>11</v>
      </c>
      <c r="H48" s="38">
        <v>20</v>
      </c>
      <c r="L48" t="s">
        <v>778</v>
      </c>
      <c r="M48">
        <v>0</v>
      </c>
      <c r="N48">
        <v>161</v>
      </c>
      <c r="O48">
        <v>331</v>
      </c>
      <c r="P48">
        <v>661</v>
      </c>
      <c r="Q48">
        <v>1301</v>
      </c>
      <c r="R48">
        <v>2601</v>
      </c>
      <c r="S48">
        <v>5001</v>
      </c>
      <c r="T48">
        <v>9001</v>
      </c>
      <c r="U48">
        <v>23001</v>
      </c>
      <c r="V48">
        <v>50001</v>
      </c>
      <c r="W48">
        <v>90001</v>
      </c>
      <c r="X48">
        <v>130001</v>
      </c>
      <c r="Y48">
        <f>IFERROR(IF(VLOOKUP(L48,Karakterlap!$P$3:$Z$4,10,FALSE)&gt;13,165001+((VLOOKUP(L48,Karakterlap!$P$3:$Z$4,10,FALSE)-13)*50000),165001),165001)</f>
        <v>165001</v>
      </c>
      <c r="Z48">
        <v>5</v>
      </c>
      <c r="AA48">
        <v>17</v>
      </c>
      <c r="AB48">
        <v>72</v>
      </c>
      <c r="AC48">
        <v>0</v>
      </c>
      <c r="AD48">
        <f>IFERROR(IF(VLOOKUP(L48,Karakterlap!$P$3:$Z$4,10,FALSE)&lt;5,VLOOKUP(L48,Karakterlap!$P$3:$Z$4,10,FALSE)*8,32+((VLOOKUP(L48,Karakterlap!$P$3:$Z$4,10,FALSE)-4)*4)),8)</f>
        <v>8</v>
      </c>
      <c r="AE48">
        <f>IFERROR(IF(Karakterlap!$P$5="Váltott kaszt",IF(Karakterlap!$P$3=Adattábla!$L48,Karakterlap!$Y$3*3,IF(Karakterlap!$P$4=Adattábla!$L48,(Karakterlap!$Y$4-Adattábla!$I$20)*3,3)),VLOOKUP(Adattábla!$L48,Karakterlap!$P$3:$Z$4,10,FALSE)*3),3)</f>
        <v>3</v>
      </c>
      <c r="AF48">
        <f>IFERROR(IF(Karakterlap!$P$5="Váltott kaszt",IF(Karakterlap!$P$3=Adattábla!$L48,Karakterlap!$Y$3*3,IF(Karakterlap!$P$4=Adattábla!$L48,(Karakterlap!$Y$4-Adattábla!$I$20)*3,3)),VLOOKUP(Adattábla!$L48,Karakterlap!$P$3:$Z$4,10,FALSE)*3),3)</f>
        <v>3</v>
      </c>
      <c r="AG48">
        <v>6</v>
      </c>
      <c r="AH48">
        <f>IF(Karakterlap!$P$5="Iker kaszt",IF(Karakterlap!$P$3=L48,IFERROR((Karakterlap!$P$6*10)+(VLOOKUP(L48,Karakterlap!$P$3:$Z$4,10,FALSE)-Karakterlap!$P$6),10),IF(Karakterlap!$P$4=L48,VLOOKUP(L48,Karakterlap!$P$3:$Z$4,10,FALSE),10)),IF(Karakterlap!$P$5="Váltott kaszt",IF(L48=Karakterlap!$P$3,(Karakterlap!$Y$3+3)*10,VLOOKUP(L48,Karakterlap!$P$3:$Z$4,10,FALSE)*10),IFERROR(VLOOKUP(L48,Karakterlap!$P$3:$Z$4,10,FALSE)*10,10)))</f>
        <v>10</v>
      </c>
      <c r="AI48">
        <v>0</v>
      </c>
      <c r="AJ48">
        <v>6</v>
      </c>
      <c r="AK48">
        <v>6</v>
      </c>
      <c r="AL48">
        <f>IFERROR(VLOOKUP(L48,Karakterlap!$P$3:$Z$4,10,FALSE)*($E$18+2),$E$18+2)</f>
        <v>8</v>
      </c>
      <c r="AM48" s="9">
        <f>IFERROR(IF(VLOOKUP(L48,Karakterlap!$P$3:$Z$4,10,FALSE)&gt;1,9+((VLOOKUP(L48,Karakterlap!$P$3:$Z$4,10,FALSE)-1)*((ROUND($E$18/2,0))+6)),9),9)</f>
        <v>9</v>
      </c>
      <c r="AN48" t="s">
        <v>92</v>
      </c>
      <c r="AO48" t="str">
        <f>IFERROR((IF(Karakterlap!$F$9&gt;10,Karakterlap!$F$9-10,0))+5+((VLOOKUP(L48,Karakterlap!$P$3:$Z$4,10,FALSE)-1)*4),"más kaszt")</f>
        <v>más kaszt</v>
      </c>
      <c r="BA48">
        <f>IFERROR(IF(Karakterlap!$P$6&gt;13,165001+((Karakterlap!$P$6-13)*50000),165001),165001)</f>
        <v>165001</v>
      </c>
      <c r="BB48" s="36">
        <f>VLOOKUP("2k6+6",$I$2:$J$11,2,FALSE)+IFERROR(VLOOKUP(Karakterlap!$V$7,$A$24:$C$33,3,FALSE),0)</f>
        <v>13</v>
      </c>
      <c r="BC48" s="36">
        <f>VLOOKUP("2k6+6",$I$2:$J$11,2,FALSE)+IFERROR(VLOOKUP(Karakterlap!$V$7,$A$24:$D$33,4,FALSE),0)</f>
        <v>13</v>
      </c>
      <c r="BD48" s="36">
        <f>VLOOKUP("3k6(2x)",$I$2:$J$11,2,FALSE)+IFERROR(VLOOKUP(Karakterlap!$V$7,$A$24:$E$33,5,FALSE),0)</f>
        <v>11</v>
      </c>
      <c r="BE48" s="36">
        <f>VLOOKUP("3k6(2x)",$I$2:$J$11,2,FALSE)+IFERROR(VLOOKUP(Karakterlap!$V$7,$A$24:$F$33,6,FALSE),0)</f>
        <v>11</v>
      </c>
      <c r="BF48" s="36">
        <f>VLOOKUP("k10+8",$I$2:$J$11,2,FALSE)+IFERROR(VLOOKUP(Karakterlap!$V$7,$A$24:$G$33,7,FALSE),0)</f>
        <v>14</v>
      </c>
      <c r="BG48" s="48">
        <f>VLOOKUP("k10+10",$I$2:$J$11,2,FALSE)+IFERROR(VLOOKUP(Karakterlap!$V$7,$A$24:$H$33,8,FALSE),0)</f>
        <v>16</v>
      </c>
      <c r="BH48" s="36">
        <f>VLOOKUP("k10+8",$I$2:$J$11,2,FALSE)+IFERROR(VLOOKUP(Karakterlap!$V$7,$A$24:$I$33,9,FALSE),0)</f>
        <v>14</v>
      </c>
      <c r="BI48" s="36">
        <f t="shared" si="2"/>
        <v>14</v>
      </c>
      <c r="BJ48" s="36">
        <f>VLOOKUP("k6+12",$I$2:$J$11,2,FALSE)+IFERROR(VLOOKUP(Karakterlap!$V$7,$A$24:$J$33,10,FALSE),0)</f>
        <v>16</v>
      </c>
      <c r="BK48" s="36">
        <f t="shared" si="3"/>
        <v>14</v>
      </c>
      <c r="BL48" s="36">
        <f>IF((SUM(Karakterlap!$F$3:$F$12)-SUM(BB48:BK48))&lt;0,0,SUM(Karakterlap!$F$3:$F$12)-SUM(BB48:BK48))</f>
        <v>0</v>
      </c>
      <c r="BM48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48&gt;18,BI48,18))&gt;0,Karakterlap!$F$10-IF(BI48&gt;18,BI48,18),0),0)+IF(Karakterlap!$F$11&gt;(18+IFERROR(VLOOKUP(Karakterlap!$V$7,$A$24:$J$33,10,FALSE),0)),(Karakterlap!$F$11-(18+IFERROR(VLOOKUP(Karakterlap!$V$7,$A$24:$J$33,10,FALSE),0))),0)+IF(Karakterlap!$F$12&gt;18,IF((Karakterlap!$F$12-IF(BK48&gt;18,BK48,18))&gt;0,Karakterlap!$F$12-IF(BK48&gt;18,BK48,18),0),0)</f>
        <v>#VALUE!</v>
      </c>
      <c r="BU48" t="s">
        <v>977</v>
      </c>
      <c r="BV48" t="s">
        <v>977</v>
      </c>
      <c r="BW48" s="5"/>
      <c r="BX48" s="97" t="s">
        <v>189</v>
      </c>
      <c r="BY48" s="97" t="s">
        <v>189</v>
      </c>
      <c r="BZ48" s="97" t="s">
        <v>187</v>
      </c>
      <c r="CA48" s="97" t="s">
        <v>187</v>
      </c>
      <c r="CB48" s="97" t="s">
        <v>190</v>
      </c>
      <c r="CC48" s="97" t="s">
        <v>193</v>
      </c>
      <c r="CD48" s="97" t="s">
        <v>190</v>
      </c>
      <c r="CE48" s="97" t="s">
        <v>190</v>
      </c>
      <c r="CF48" s="97" t="s">
        <v>192</v>
      </c>
      <c r="CG48" s="97" t="s">
        <v>190</v>
      </c>
    </row>
    <row r="49" spans="1:85" ht="16" thickBot="1" x14ac:dyDescent="0.25">
      <c r="A49" t="s">
        <v>876</v>
      </c>
      <c r="C49" t="s">
        <v>897</v>
      </c>
      <c r="F49" s="93" t="s">
        <v>194</v>
      </c>
      <c r="G49" s="94">
        <v>15</v>
      </c>
      <c r="H49" s="39">
        <v>20</v>
      </c>
      <c r="L49" t="s">
        <v>781</v>
      </c>
      <c r="M49">
        <v>0</v>
      </c>
      <c r="N49">
        <v>161</v>
      </c>
      <c r="O49">
        <v>331</v>
      </c>
      <c r="P49">
        <v>661</v>
      </c>
      <c r="Q49">
        <v>1301</v>
      </c>
      <c r="R49">
        <v>2601</v>
      </c>
      <c r="S49">
        <v>5001</v>
      </c>
      <c r="T49">
        <v>9001</v>
      </c>
      <c r="U49">
        <v>23001</v>
      </c>
      <c r="V49">
        <v>50001</v>
      </c>
      <c r="W49">
        <v>90001</v>
      </c>
      <c r="X49">
        <v>130001</v>
      </c>
      <c r="Y49">
        <f>IFERROR(IF(VLOOKUP(L49,Karakterlap!$P$3:$Z$4,10,FALSE)&gt;13,165001+((VLOOKUP(L49,Karakterlap!$P$3:$Z$4,10,FALSE)-13)*50000),165001),165001)</f>
        <v>165001</v>
      </c>
      <c r="Z49">
        <v>5</v>
      </c>
      <c r="AA49">
        <v>17</v>
      </c>
      <c r="AB49">
        <v>72</v>
      </c>
      <c r="AC49">
        <v>0</v>
      </c>
      <c r="AD49">
        <f>IFERROR(VLOOKUP(L49,Karakterlap!$P$3:$Z$4,10,FALSE)*8,8)</f>
        <v>8</v>
      </c>
      <c r="AE49">
        <f>IFERROR(IF(Karakterlap!$P$5="Váltott kaszt",IF(Karakterlap!$P$3=Adattábla!$L49,Karakterlap!$Y$3*3,IF(Karakterlap!$P$4=Adattábla!$L49,(Karakterlap!$Y$4-Adattábla!$I$20)*3,3)),VLOOKUP(Adattábla!$L49,Karakterlap!$P$3:$Z$4,10,FALSE)*3),3)</f>
        <v>3</v>
      </c>
      <c r="AF49">
        <f>IFERROR(IF(Karakterlap!$P$5="Váltott kaszt",IF(Karakterlap!$P$3=Adattábla!$L49,Karakterlap!$Y$3*3,IF(Karakterlap!$P$4=Adattábla!$L49,(Karakterlap!$Y$4-Adattábla!$I$20)*3,3)),VLOOKUP(Adattábla!$L49,Karakterlap!$P$3:$Z$4,10,FALSE)*3),3)</f>
        <v>3</v>
      </c>
      <c r="AG49">
        <v>6</v>
      </c>
      <c r="AH49">
        <f>IF(Karakterlap!$P$5="Iker kaszt",IF(Karakterlap!$P$3=L49,IFERROR((Karakterlap!$P$6*10)+(VLOOKUP(L49,Karakterlap!$P$3:$Z$4,10,FALSE)-Karakterlap!$P$6),10),IF(Karakterlap!$P$4=L49,VLOOKUP(L49,Karakterlap!$P$3:$Z$4,10,FALSE),10)),IF(Karakterlap!$P$5="Váltott kaszt",IF(L49=Karakterlap!$P$3,(Karakterlap!$Y$3+3)*10,VLOOKUP(L49,Karakterlap!$P$3:$Z$4,10,FALSE)*10),IFERROR(VLOOKUP(L49,Karakterlap!$P$3:$Z$4,10,FALSE)*10,10)))</f>
        <v>10</v>
      </c>
      <c r="AI49">
        <v>0</v>
      </c>
      <c r="AJ49">
        <v>6</v>
      </c>
      <c r="AK49">
        <v>6</v>
      </c>
      <c r="AL49">
        <f>IFERROR(VLOOKUP(L49,Karakterlap!$P$3:$Z$4,10,FALSE)*($E$18+2),$E$18+2)</f>
        <v>8</v>
      </c>
      <c r="AM49" s="9">
        <f>IFERROR(IF(VLOOKUP(L49,Karakterlap!$P$3:$Z$4,10,FALSE)&gt;1,9+((VLOOKUP(L49,Karakterlap!$P$3:$Z$4,10,FALSE)-1)*((ROUND($E$18/2,0))+6)),9),9)</f>
        <v>9</v>
      </c>
      <c r="AN49" t="s">
        <v>92</v>
      </c>
      <c r="AO49" t="str">
        <f>IFERROR((IF(Karakterlap!$F$9&gt;10,Karakterlap!$F$9-10,0))+5+((VLOOKUP(L49,Karakterlap!$P$3:$Z$4,10,FALSE)-1)*4),"más kaszt")</f>
        <v>más kaszt</v>
      </c>
      <c r="BA49">
        <f>IFERROR(IF(Karakterlap!$P$6&gt;13,165001+((Karakterlap!$P$6-13)*50000),165001),165001)</f>
        <v>165001</v>
      </c>
      <c r="BB49" s="36">
        <f>VLOOKUP("2k6+6",$I$2:$J$11,2,FALSE)+IFERROR(VLOOKUP(Karakterlap!$V$7,$A$24:$C$33,3,FALSE),0)</f>
        <v>13</v>
      </c>
      <c r="BC49" s="36">
        <f>VLOOKUP("2k6+6",$I$2:$J$11,2,FALSE)+IFERROR(VLOOKUP(Karakterlap!$V$7,$A$24:$D$33,4,FALSE),0)</f>
        <v>13</v>
      </c>
      <c r="BD49" s="36">
        <f>VLOOKUP("3k6(2x)",$I$2:$J$11,2,FALSE)+IFERROR(VLOOKUP(Karakterlap!$V$7,$A$24:$E$33,5,FALSE),0)</f>
        <v>11</v>
      </c>
      <c r="BE49" s="36">
        <f>VLOOKUP("3k6(2x)",$I$2:$J$11,2,FALSE)+IFERROR(VLOOKUP(Karakterlap!$V$7,$A$24:$F$33,6,FALSE),0)</f>
        <v>11</v>
      </c>
      <c r="BF49" s="36">
        <f>VLOOKUP("k10+8",$I$2:$J$11,2,FALSE)+IFERROR(VLOOKUP(Karakterlap!$V$7,$A$24:$G$33,7,FALSE),0)</f>
        <v>14</v>
      </c>
      <c r="BG49" s="48">
        <f>VLOOKUP("k10+10",$I$2:$J$11,2,FALSE)+IFERROR(VLOOKUP(Karakterlap!$V$7,$A$24:$H$33,8,FALSE),0)</f>
        <v>16</v>
      </c>
      <c r="BH49" s="36">
        <f>VLOOKUP("k10+8",$I$2:$J$11,2,FALSE)+IFERROR(VLOOKUP(Karakterlap!$V$7,$A$24:$I$33,9,FALSE),0)</f>
        <v>14</v>
      </c>
      <c r="BI49" s="36">
        <f t="shared" si="2"/>
        <v>14</v>
      </c>
      <c r="BJ49" s="36">
        <f>VLOOKUP("k6+12",$I$2:$J$11,2,FALSE)+IFERROR(VLOOKUP(Karakterlap!$V$7,$A$24:$J$33,10,FALSE),0)</f>
        <v>16</v>
      </c>
      <c r="BK49" s="36">
        <f t="shared" si="3"/>
        <v>14</v>
      </c>
      <c r="BL49" s="36">
        <f>IF((SUM(Karakterlap!$F$3:$F$12)-SUM(BB49:BK49))&lt;0,0,SUM(Karakterlap!$F$3:$F$12)-SUM(BB49:BK49))</f>
        <v>0</v>
      </c>
      <c r="BM49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49&gt;18,BI49,18))&gt;0,Karakterlap!$F$10-IF(BI49&gt;18,BI49,18),0),0)+IF(Karakterlap!$F$11&gt;(18+IFERROR(VLOOKUP(Karakterlap!$V$7,$A$24:$J$33,10,FALSE),0)),(Karakterlap!$F$11-(18+IFERROR(VLOOKUP(Karakterlap!$V$7,$A$24:$J$33,10,FALSE),0))),0)+IF(Karakterlap!$F$12&gt;18,IF((Karakterlap!$F$12-IF(BK49&gt;18,BK49,18))&gt;0,Karakterlap!$F$12-IF(BK49&gt;18,BK49,18),0),0)</f>
        <v>#VALUE!</v>
      </c>
      <c r="BU49" t="s">
        <v>977</v>
      </c>
      <c r="BV49" t="s">
        <v>977</v>
      </c>
      <c r="BW49" s="5"/>
      <c r="BX49" s="97" t="s">
        <v>189</v>
      </c>
      <c r="BY49" s="97" t="s">
        <v>189</v>
      </c>
      <c r="BZ49" s="97" t="s">
        <v>187</v>
      </c>
      <c r="CA49" s="97" t="s">
        <v>187</v>
      </c>
      <c r="CB49" s="97" t="s">
        <v>190</v>
      </c>
      <c r="CC49" s="97" t="s">
        <v>193</v>
      </c>
      <c r="CD49" s="97" t="s">
        <v>190</v>
      </c>
      <c r="CE49" s="97" t="s">
        <v>190</v>
      </c>
      <c r="CF49" s="97" t="s">
        <v>192</v>
      </c>
      <c r="CG49" s="97" t="s">
        <v>190</v>
      </c>
    </row>
    <row r="50" spans="1:85" x14ac:dyDescent="0.2">
      <c r="A50" t="s">
        <v>877</v>
      </c>
      <c r="C50" t="s">
        <v>898</v>
      </c>
      <c r="L50" t="s">
        <v>782</v>
      </c>
      <c r="M50">
        <v>0</v>
      </c>
      <c r="N50">
        <v>161</v>
      </c>
      <c r="O50">
        <v>331</v>
      </c>
      <c r="P50">
        <v>661</v>
      </c>
      <c r="Q50">
        <v>1301</v>
      </c>
      <c r="R50">
        <v>2601</v>
      </c>
      <c r="S50">
        <v>5001</v>
      </c>
      <c r="T50">
        <v>9001</v>
      </c>
      <c r="U50">
        <v>23001</v>
      </c>
      <c r="V50">
        <v>50001</v>
      </c>
      <c r="W50">
        <v>90001</v>
      </c>
      <c r="X50">
        <v>130001</v>
      </c>
      <c r="Y50">
        <f>IFERROR(IF(VLOOKUP(L50,Karakterlap!$P$3:$Z$4,10,FALSE)&gt;13,165001+((VLOOKUP(L50,Karakterlap!$P$3:$Z$4,10,FALSE)-13)*50000),165001),165001)</f>
        <v>165001</v>
      </c>
      <c r="Z50">
        <v>9</v>
      </c>
      <c r="AA50">
        <v>18</v>
      </c>
      <c r="AB50">
        <v>73</v>
      </c>
      <c r="AC50" t="e">
        <f>Karakterlap!$F$6+5</f>
        <v>#VALUE!</v>
      </c>
      <c r="AD50">
        <f>IFERROR(VLOOKUP(L50,Karakterlap!$P$3:$Z$4,10,FALSE)*9,9)</f>
        <v>9</v>
      </c>
      <c r="AE50">
        <f>IFERROR(IF(Karakterlap!$P$5="Váltott kaszt",IF(Karakterlap!$P$3=Adattábla!$L50,Karakterlap!$Y$3*4,IF(Karakterlap!$P$4=Adattábla!$L50,(Karakterlap!$Y$4-Adattábla!$I$20)*4,4)),VLOOKUP(Adattábla!$L50,Karakterlap!$P$3:$Z$4,10,FALSE)*4),4)</f>
        <v>4</v>
      </c>
      <c r="AF50">
        <v>0</v>
      </c>
      <c r="AG50">
        <v>6</v>
      </c>
      <c r="AH50">
        <f>IF(Karakterlap!$P$5="Iker kaszt",IF(Karakterlap!$P$3=L50,IFERROR((Karakterlap!$P$6*10)+(VLOOKUP(L50,Karakterlap!$P$3:$Z$4,10,FALSE)-Karakterlap!$P$6),10),IF(Karakterlap!$P$4=L50,VLOOKUP(L50,Karakterlap!$P$3:$Z$4,10,FALSE),10)),IF(Karakterlap!$P$5="Váltott kaszt",IF(L50=Karakterlap!$P$3,(Karakterlap!$Y$3+3)*10,VLOOKUP(L50,Karakterlap!$P$3:$Z$4,10,FALSE)*10),IFERROR(VLOOKUP(L50,Karakterlap!$P$3:$Z$4,10,FALSE)*10,10)))</f>
        <v>10</v>
      </c>
      <c r="AI50">
        <v>0</v>
      </c>
      <c r="AJ50">
        <v>6</v>
      </c>
      <c r="AK50">
        <v>6</v>
      </c>
      <c r="AL50" s="9">
        <f>IFERROR(VLOOKUP(L50,Karakterlap!$P$3:$Z$4,10,FALSE)*($E$18+2),$E$18+2)</f>
        <v>8</v>
      </c>
      <c r="AM50" s="9">
        <f>IFERROR(IF(VLOOKUP(L50,Karakterlap!$P$3:$Z$4,10,FALSE)&gt;1,9+((VLOOKUP(L50,Karakterlap!$P$3:$Z$4,10,FALSE)-1)*((ROUND($E$18/2,0))+6)),9),9)</f>
        <v>9</v>
      </c>
      <c r="AN50" t="s">
        <v>91</v>
      </c>
      <c r="AO50" t="str">
        <f>IFERROR((IF(Karakterlap!$F$9&gt;10,Karakterlap!$F$9-10,0))+4+((VLOOKUP(L50,Karakterlap!$P$3:$Z$4,10,FALSE)-1)*3),"más kaszt")</f>
        <v>más kaszt</v>
      </c>
      <c r="AR50" s="14" t="str">
        <f>IFERROR(IF(VLOOKUP(L50,Karakterlap!$P$3:$Z$4,10,FALSE)&lt;3,"",30),"")</f>
        <v/>
      </c>
      <c r="BA50">
        <f>IFERROR(IF(Karakterlap!$P$6&gt;13,165001+((Karakterlap!$P$6-13)*50000),165001),165001)</f>
        <v>165001</v>
      </c>
      <c r="BB50" s="36">
        <f>VLOOKUP("2k6+6",$I$2:$J$11,2,FALSE)+IFERROR(VLOOKUP(Karakterlap!$V$7,$A$24:$C$33,3,FALSE),0)</f>
        <v>13</v>
      </c>
      <c r="BC50" s="36">
        <f>VLOOKUP("2k6+6",$I$2:$J$11,2,FALSE)+IFERROR(VLOOKUP(Karakterlap!$V$7,$A$24:$D$33,4,FALSE),0)</f>
        <v>13</v>
      </c>
      <c r="BD50" s="48">
        <f>VLOOKUP("k6+14",$I$2:$J$11,2,FALSE)+IFERROR(VLOOKUP(Karakterlap!$V$7,$A$24:$E$33,5,FALSE),0)</f>
        <v>18</v>
      </c>
      <c r="BE50" s="36">
        <f>VLOOKUP("3k6(2x)",$I$2:$J$11,2,FALSE)+IFERROR(VLOOKUP(Karakterlap!$V$7,$A$24:$F$33,6,FALSE),0)</f>
        <v>11</v>
      </c>
      <c r="BF50" s="36">
        <f>VLOOKUP("k10+8",$I$2:$J$11,2,FALSE)+IFERROR(VLOOKUP(Karakterlap!$V$7,$A$24:$G$33,7,FALSE),0)</f>
        <v>14</v>
      </c>
      <c r="BG50" s="48">
        <f>VLOOKUP("k10+10",$I$2:$J$11,2,FALSE)+IFERROR(VLOOKUP(Karakterlap!$V$7,$A$24:$H$33,8,FALSE),0)</f>
        <v>16</v>
      </c>
      <c r="BH50" s="36">
        <f>VLOOKUP("k10+8",$I$2:$J$11,2,FALSE)+IFERROR(VLOOKUP(Karakterlap!$V$7,$A$24:$I$33,9,FALSE),0)</f>
        <v>14</v>
      </c>
      <c r="BI50" s="36">
        <f t="shared" si="2"/>
        <v>14</v>
      </c>
      <c r="BJ50" s="36">
        <f>VLOOKUP("k6+12",$I$2:$J$11,2,FALSE)+IFERROR(VLOOKUP(Karakterlap!$V$7,$A$24:$J$33,10,FALSE),0)</f>
        <v>16</v>
      </c>
      <c r="BK50" s="36">
        <f t="shared" si="3"/>
        <v>14</v>
      </c>
      <c r="BL50" s="36">
        <f>IF((SUM(Karakterlap!$F$3:$F$12)-SUM(BB50:BK50))&lt;0,0,SUM(Karakterlap!$F$3:$F$12)-SUM(BB50:BK50))</f>
        <v>0</v>
      </c>
      <c r="BM50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(20+IFERROR(VLOOKUP(Karakterlap!$V$7,$A$24:$E$33,5,FALSE),0)),(Karakterlap!$F$5-(20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50&gt;18,BI50,18))&gt;0,Karakterlap!$F$10-IF(BI50&gt;18,BI50,18),0),0)+IF(Karakterlap!$F$11&gt;(18+IFERROR(VLOOKUP(Karakterlap!$V$7,$A$24:$J$33,10,FALSE),0)),(Karakterlap!$F$11-(18+IFERROR(VLOOKUP(Karakterlap!$V$7,$A$24:$J$33,10,FALSE),0))),0)+IF(Karakterlap!$F$12&gt;18,IF((Karakterlap!$F$12-IF(BK50&gt;18,BK50,18))&gt;0,Karakterlap!$F$12-IF(BK50&gt;18,BK50,18),0),0)</f>
        <v>#VALUE!</v>
      </c>
      <c r="BU50" t="s">
        <v>977</v>
      </c>
      <c r="BV50" t="s">
        <v>977</v>
      </c>
      <c r="BW50" s="5"/>
      <c r="BX50" s="97" t="s">
        <v>189</v>
      </c>
      <c r="BY50" s="97" t="s">
        <v>189</v>
      </c>
      <c r="BZ50" s="97" t="s">
        <v>194</v>
      </c>
      <c r="CA50" s="97" t="s">
        <v>187</v>
      </c>
      <c r="CB50" s="97" t="s">
        <v>190</v>
      </c>
      <c r="CC50" s="97" t="s">
        <v>193</v>
      </c>
      <c r="CD50" s="97" t="s">
        <v>190</v>
      </c>
      <c r="CE50" s="97" t="s">
        <v>190</v>
      </c>
      <c r="CF50" s="97" t="s">
        <v>192</v>
      </c>
      <c r="CG50" s="97" t="s">
        <v>190</v>
      </c>
    </row>
    <row r="51" spans="1:85" x14ac:dyDescent="0.2">
      <c r="A51" t="s">
        <v>870</v>
      </c>
      <c r="L51" t="s">
        <v>786</v>
      </c>
      <c r="M51">
        <v>0</v>
      </c>
      <c r="N51">
        <v>161</v>
      </c>
      <c r="O51">
        <v>331</v>
      </c>
      <c r="P51">
        <v>661</v>
      </c>
      <c r="Q51">
        <v>1301</v>
      </c>
      <c r="R51">
        <v>2601</v>
      </c>
      <c r="S51">
        <v>5001</v>
      </c>
      <c r="T51">
        <v>9001</v>
      </c>
      <c r="U51">
        <v>23001</v>
      </c>
      <c r="V51">
        <v>50001</v>
      </c>
      <c r="W51">
        <v>90001</v>
      </c>
      <c r="X51">
        <v>130001</v>
      </c>
      <c r="Y51">
        <f>IFERROR(IF(VLOOKUP(L51,Karakterlap!$P$3:$Z$4,10,FALSE)&gt;13,165001+((VLOOKUP(L51,Karakterlap!$P$3:$Z$4,10,FALSE)-13)*50000),165001),165001)</f>
        <v>165001</v>
      </c>
      <c r="Z51">
        <v>9</v>
      </c>
      <c r="AA51">
        <v>18</v>
      </c>
      <c r="AB51">
        <v>73</v>
      </c>
      <c r="AC51" t="e">
        <f>Karakterlap!$F$6+5</f>
        <v>#VALUE!</v>
      </c>
      <c r="AD51">
        <f>IFERROR(VLOOKUP(L51,Karakterlap!$P$3:$Z$4,10,FALSE)*9,9)</f>
        <v>9</v>
      </c>
      <c r="AE51">
        <f>IFERROR(IF(Karakterlap!$P$5="Váltott kaszt",IF(Karakterlap!$P$3=Adattábla!$L51,Karakterlap!$Y$3*4,IF(Karakterlap!$P$4=Adattábla!$L51,(Karakterlap!$Y$4-Adattábla!$I$20)*4,4)),VLOOKUP(Adattábla!$L51,Karakterlap!$P$3:$Z$4,10,FALSE)*4),4)</f>
        <v>4</v>
      </c>
      <c r="AF51">
        <v>0</v>
      </c>
      <c r="AG51">
        <v>6</v>
      </c>
      <c r="AH51">
        <f>IF(Karakterlap!$P$5="Iker kaszt",IF(Karakterlap!$P$3=L51,IFERROR((Karakterlap!$P$6*10)+(VLOOKUP(L51,Karakterlap!$P$3:$Z$4,10,FALSE)-Karakterlap!$P$6),10),IF(Karakterlap!$P$4=L51,VLOOKUP(L51,Karakterlap!$P$3:$Z$4,10,FALSE),10)),IF(Karakterlap!$P$5="Váltott kaszt",IF(L51=Karakterlap!$P$3,(Karakterlap!$Y$3+3)*10,VLOOKUP(L51,Karakterlap!$P$3:$Z$4,10,FALSE)*10),IFERROR(VLOOKUP(L51,Karakterlap!$P$3:$Z$4,10,FALSE)*10,10)))</f>
        <v>10</v>
      </c>
      <c r="AI51">
        <v>0</v>
      </c>
      <c r="AJ51">
        <v>6</v>
      </c>
      <c r="AK51">
        <v>6</v>
      </c>
      <c r="AL51" s="9">
        <f>IFERROR(VLOOKUP(L51,Karakterlap!$P$3:$Z$4,10,FALSE)*($E$18+2),$E$18+2)</f>
        <v>8</v>
      </c>
      <c r="AM51" s="9">
        <f>IFERROR(IF(VLOOKUP(L51,Karakterlap!$P$3:$Z$4,10,FALSE)&gt;1,9+((VLOOKUP(L51,Karakterlap!$P$3:$Z$4,10,FALSE)-1)*((ROUND($E$18/2,0))+6)),9),9)</f>
        <v>9</v>
      </c>
      <c r="AN51" t="s">
        <v>91</v>
      </c>
      <c r="AO51" t="str">
        <f>IFERROR((IF(Karakterlap!$F$9&gt;10,Karakterlap!$F$9-10,0))+4+((VLOOKUP(L51,Karakterlap!$P$3:$Z$4,10,FALSE)-1)*3),"más kaszt")</f>
        <v>más kaszt</v>
      </c>
      <c r="AR51" s="14" t="str">
        <f>IFERROR(IF(VLOOKUP(L51,Karakterlap!$P$3:$Z$4,10,FALSE)&lt;3,"",30),"")</f>
        <v/>
      </c>
      <c r="BA51">
        <f>IFERROR(IF(Karakterlap!$P$6&gt;13,165001+((Karakterlap!$P$6-13)*50000),165001),165001)</f>
        <v>165001</v>
      </c>
      <c r="BB51" s="36">
        <f>VLOOKUP("2k6+6",$I$2:$J$11,2,FALSE)+IFERROR(VLOOKUP(Karakterlap!$V$7,$A$24:$C$33,3,FALSE),0)</f>
        <v>13</v>
      </c>
      <c r="BC51" s="36">
        <f>VLOOKUP("2k6+6",$I$2:$J$11,2,FALSE)+IFERROR(VLOOKUP(Karakterlap!$V$7,$A$24:$D$33,4,FALSE),0)</f>
        <v>13</v>
      </c>
      <c r="BD51" s="36">
        <f>VLOOKUP("3k6(2x)",$I$2:$J$11,2,FALSE)+IFERROR(VLOOKUP(Karakterlap!$V$7,$A$24:$E$33,5,FALSE),0)</f>
        <v>11</v>
      </c>
      <c r="BE51" s="36">
        <f>VLOOKUP("3k6(2x)",$I$2:$J$11,2,FALSE)+IFERROR(VLOOKUP(Karakterlap!$V$7,$A$24:$F$33,6,FALSE),0)</f>
        <v>11</v>
      </c>
      <c r="BF51" s="36">
        <f>VLOOKUP("k10+8",$I$2:$J$11,2,FALSE)+IFERROR(VLOOKUP(Karakterlap!$V$7,$A$24:$G$33,7,FALSE),0)</f>
        <v>14</v>
      </c>
      <c r="BG51" s="48">
        <f>VLOOKUP("k10+10",$I$2:$J$11,2,FALSE)+IFERROR(VLOOKUP(Karakterlap!$V$7,$A$24:$H$33,8,FALSE),0)</f>
        <v>16</v>
      </c>
      <c r="BH51" s="36">
        <f>VLOOKUP("k10+8",$I$2:$J$11,2,FALSE)+IFERROR(VLOOKUP(Karakterlap!$V$7,$A$24:$I$33,9,FALSE),0)</f>
        <v>14</v>
      </c>
      <c r="BI51" s="48">
        <f>VLOOKUP("k6+14",$I$2:$J$11,2,FALSE)</f>
        <v>18</v>
      </c>
      <c r="BJ51" s="36">
        <f>VLOOKUP("k6+12",$I$2:$J$11,2,FALSE)+IFERROR(VLOOKUP(Karakterlap!$V$7,$A$24:$J$33,10,FALSE),0)</f>
        <v>16</v>
      </c>
      <c r="BK51" s="36">
        <f t="shared" si="3"/>
        <v>14</v>
      </c>
      <c r="BL51" s="36">
        <f>IF((SUM(Karakterlap!$F$3:$F$12)-SUM(BB51:BK51))&lt;0,0,SUM(Karakterlap!$F$3:$F$12)-SUM(BB51:BK51))</f>
        <v>0</v>
      </c>
      <c r="BM51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20,IF((Karakterlap!$F$10-IF(BI51&gt;20,BI51,20))&gt;0,Karakterlap!$F$10-IF(BI51&gt;20,BI51,20),0),0)+IF(Karakterlap!$F$11&gt;(18+IFERROR(VLOOKUP(Karakterlap!$V$7,$A$24:$J$33,10,FALSE),0)),(Karakterlap!$F$11-(18+IFERROR(VLOOKUP(Karakterlap!$V$7,$A$24:$J$33,10,FALSE),0))),0)+IF(Karakterlap!$F$12&gt;18,IF((Karakterlap!$F$12-IF(BK51&gt;18,BK51,18))&gt;0,Karakterlap!$F$12-IF(BK51&gt;18,BK51,18),0),0)</f>
        <v>#VALUE!</v>
      </c>
      <c r="BV51" t="s">
        <v>977</v>
      </c>
      <c r="BW51" s="5"/>
      <c r="BX51" s="97" t="s">
        <v>189</v>
      </c>
      <c r="BY51" s="97" t="s">
        <v>189</v>
      </c>
      <c r="BZ51" s="97" t="s">
        <v>187</v>
      </c>
      <c r="CA51" s="97" t="s">
        <v>187</v>
      </c>
      <c r="CB51" s="97" t="s">
        <v>190</v>
      </c>
      <c r="CC51" s="97" t="s">
        <v>193</v>
      </c>
      <c r="CD51" s="97" t="s">
        <v>190</v>
      </c>
      <c r="CE51" s="97" t="s">
        <v>194</v>
      </c>
      <c r="CF51" s="97" t="s">
        <v>192</v>
      </c>
      <c r="CG51" s="97" t="s">
        <v>190</v>
      </c>
    </row>
    <row r="52" spans="1:85" x14ac:dyDescent="0.2">
      <c r="L52" t="s">
        <v>787</v>
      </c>
      <c r="M52">
        <v>0</v>
      </c>
      <c r="N52">
        <v>161</v>
      </c>
      <c r="O52">
        <v>331</v>
      </c>
      <c r="P52">
        <v>661</v>
      </c>
      <c r="Q52">
        <v>1301</v>
      </c>
      <c r="R52">
        <v>2601</v>
      </c>
      <c r="S52">
        <v>5001</v>
      </c>
      <c r="T52">
        <v>9001</v>
      </c>
      <c r="U52">
        <v>23001</v>
      </c>
      <c r="V52">
        <v>50001</v>
      </c>
      <c r="W52">
        <v>90001</v>
      </c>
      <c r="X52">
        <v>130001</v>
      </c>
      <c r="Y52">
        <f>IFERROR(IF(VLOOKUP(L52,Karakterlap!$P$3:$Z$4,10,FALSE)&gt;13,165001+((VLOOKUP(L52,Karakterlap!$P$3:$Z$4,10,FALSE)-13)*50000),165001),165001)</f>
        <v>165001</v>
      </c>
      <c r="Z52">
        <v>9</v>
      </c>
      <c r="AA52">
        <v>18</v>
      </c>
      <c r="AB52">
        <v>73</v>
      </c>
      <c r="AC52" t="e">
        <f>Karakterlap!$F$6+5</f>
        <v>#VALUE!</v>
      </c>
      <c r="AD52">
        <f>IFERROR(VLOOKUP(L52,Karakterlap!$P$3:$Z$4,10,FALSE)*9,9)</f>
        <v>9</v>
      </c>
      <c r="AE52">
        <f>IFERROR(IF(Karakterlap!$P$5="Váltott kaszt",IF(Karakterlap!$P$3=Adattábla!$L52,Karakterlap!$Y$3*4,IF(Karakterlap!$P$4=Adattábla!$L52,(Karakterlap!$Y$4-Adattábla!$I$20)*4,4)),VLOOKUP(Adattábla!$L52,Karakterlap!$P$3:$Z$4,10,FALSE)*4),4)</f>
        <v>4</v>
      </c>
      <c r="AF52">
        <v>0</v>
      </c>
      <c r="AG52">
        <v>6</v>
      </c>
      <c r="AH52">
        <f>IF(Karakterlap!$P$5="Iker kaszt",IF(Karakterlap!$P$3=L52,IFERROR((Karakterlap!$P$6*10)+(VLOOKUP(L52,Karakterlap!$P$3:$Z$4,10,FALSE)-Karakterlap!$P$6),10),IF(Karakterlap!$P$4=L52,VLOOKUP(L52,Karakterlap!$P$3:$Z$4,10,FALSE),10)),IF(Karakterlap!$P$5="Váltott kaszt",IF(L52=Karakterlap!$P$3,(Karakterlap!$Y$3+3)*10,VLOOKUP(L52,Karakterlap!$P$3:$Z$4,10,FALSE)*10),IFERROR(VLOOKUP(L52,Karakterlap!$P$3:$Z$4,10,FALSE)*10,10)))</f>
        <v>10</v>
      </c>
      <c r="AI52">
        <v>0</v>
      </c>
      <c r="AJ52">
        <v>6</v>
      </c>
      <c r="AK52">
        <v>6</v>
      </c>
      <c r="AL52" s="9">
        <f>IFERROR(VLOOKUP(L52,Karakterlap!$P$3:$Z$4,10,FALSE)*($E$18+2),$E$18+2)</f>
        <v>8</v>
      </c>
      <c r="AM52" s="9">
        <f>IFERROR(IF(VLOOKUP(L52,Karakterlap!$P$3:$Z$4,10,FALSE)&gt;1,9+((VLOOKUP(L52,Karakterlap!$P$3:$Z$4,10,FALSE)-1)*((ROUND($E$18/2,0))+6)),9),9)</f>
        <v>9</v>
      </c>
      <c r="AN52" t="s">
        <v>91</v>
      </c>
      <c r="AO52" t="str">
        <f>IFERROR((IF(Karakterlap!$F$9&gt;10,Karakterlap!$F$9-10,0))+4+((VLOOKUP(L52,Karakterlap!$P$3:$Z$4,10,FALSE)-1)*3),"más kaszt")</f>
        <v>más kaszt</v>
      </c>
      <c r="AR52" s="14" t="str">
        <f>IFERROR(IF(VLOOKUP(L52,Karakterlap!$P$3:$Z$4,10,FALSE)&lt;3,"",30),"")</f>
        <v/>
      </c>
      <c r="BA52">
        <f>IFERROR(IF(Karakterlap!$P$6&gt;13,165001+((Karakterlap!$P$6-13)*50000),165001),165001)</f>
        <v>165001</v>
      </c>
      <c r="BB52" s="36">
        <f>VLOOKUP("2k6+6",$I$2:$J$11,2,FALSE)+IFERROR(VLOOKUP(Karakterlap!$V$7,$A$24:$C$33,3,FALSE),0)</f>
        <v>13</v>
      </c>
      <c r="BC52" s="36">
        <f>VLOOKUP("2k6+6",$I$2:$J$11,2,FALSE)+IFERROR(VLOOKUP(Karakterlap!$V$7,$A$24:$D$33,4,FALSE),0)</f>
        <v>13</v>
      </c>
      <c r="BD52" s="36">
        <f>VLOOKUP("3k6(2x)",$I$2:$J$11,2,FALSE)+IFERROR(VLOOKUP(Karakterlap!$V$7,$A$24:$E$33,5,FALSE),0)</f>
        <v>11</v>
      </c>
      <c r="BE52" s="48">
        <f>VLOOKUP("k6+14",$I$2:$J$11,2,FALSE)+IFERROR(VLOOKUP(Karakterlap!$V$7,$A$24:$F$33,6,FALSE),0)</f>
        <v>18</v>
      </c>
      <c r="BF52" s="36">
        <f>VLOOKUP("k10+8",$I$2:$J$11,2,FALSE)+IFERROR(VLOOKUP(Karakterlap!$V$7,$A$24:$G$33,7,FALSE),0)</f>
        <v>14</v>
      </c>
      <c r="BG52" s="48">
        <f>VLOOKUP("k10+10",$I$2:$J$11,2,FALSE)+IFERROR(VLOOKUP(Karakterlap!$V$7,$A$24:$H$33,8,FALSE),0)</f>
        <v>16</v>
      </c>
      <c r="BH52" s="36">
        <f>VLOOKUP("k10+8",$I$2:$J$11,2,FALSE)+IFERROR(VLOOKUP(Karakterlap!$V$7,$A$24:$I$33,9,FALSE),0)</f>
        <v>14</v>
      </c>
      <c r="BI52" s="36">
        <f t="shared" si="2"/>
        <v>14</v>
      </c>
      <c r="BJ52" s="36">
        <f>VLOOKUP("k6+12",$I$2:$J$11,2,FALSE)+IFERROR(VLOOKUP(Karakterlap!$V$7,$A$24:$J$33,10,FALSE),0)</f>
        <v>16</v>
      </c>
      <c r="BK52" s="36">
        <f t="shared" si="3"/>
        <v>14</v>
      </c>
      <c r="BL52" s="36">
        <f>IF((SUM(Karakterlap!$F$3:$F$12)-SUM(BB52:BK52))&lt;0,0,SUM(Karakterlap!$F$3:$F$12)-SUM(BB52:BK52))</f>
        <v>0</v>
      </c>
      <c r="BM52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(20+IFERROR(VLOOKUP(Karakterlap!$V$7,$A$24:$F$33,6,FALSE),0)),(Karakterlap!$F$6-(20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52&gt;18,BI52,18))&gt;0,Karakterlap!$F$10-IF(BI52&gt;18,BI52,18),0),0)+IF(Karakterlap!$F$11&gt;(18+IFERROR(VLOOKUP(Karakterlap!$V$7,$A$24:$J$33,10,FALSE),0)),(Karakterlap!$F$11-(18+IFERROR(VLOOKUP(Karakterlap!$V$7,$A$24:$J$33,10,FALSE),0))),0)+IF(Karakterlap!$F$12&gt;18,IF((Karakterlap!$F$12-IF(BK52&gt;18,BK52,18))&gt;0,Karakterlap!$F$12-IF(BK52&gt;18,BK52,18),0),0)</f>
        <v>#VALUE!</v>
      </c>
      <c r="BU52" t="s">
        <v>977</v>
      </c>
      <c r="BV52" t="s">
        <v>977</v>
      </c>
      <c r="BW52" s="5"/>
      <c r="BX52" s="97" t="s">
        <v>189</v>
      </c>
      <c r="BY52" s="97" t="s">
        <v>189</v>
      </c>
      <c r="BZ52" s="97" t="s">
        <v>187</v>
      </c>
      <c r="CA52" s="97" t="s">
        <v>194</v>
      </c>
      <c r="CB52" s="97" t="s">
        <v>190</v>
      </c>
      <c r="CC52" s="97" t="s">
        <v>193</v>
      </c>
      <c r="CD52" s="97" t="s">
        <v>190</v>
      </c>
      <c r="CE52" s="97" t="s">
        <v>190</v>
      </c>
      <c r="CF52" s="97" t="s">
        <v>192</v>
      </c>
      <c r="CG52" s="97" t="s">
        <v>190</v>
      </c>
    </row>
    <row r="53" spans="1:85" x14ac:dyDescent="0.2">
      <c r="A53" s="82" t="s">
        <v>859</v>
      </c>
      <c r="B53" s="82"/>
      <c r="L53" t="s">
        <v>788</v>
      </c>
      <c r="M53" s="9">
        <v>0</v>
      </c>
      <c r="N53" s="9">
        <v>161</v>
      </c>
      <c r="O53" s="9">
        <v>331</v>
      </c>
      <c r="P53" s="9">
        <v>661</v>
      </c>
      <c r="Q53" s="9">
        <v>1301</v>
      </c>
      <c r="R53" s="9">
        <v>2601</v>
      </c>
      <c r="S53" s="9">
        <v>5001</v>
      </c>
      <c r="T53" s="9">
        <v>9001</v>
      </c>
      <c r="U53" s="9">
        <v>23001</v>
      </c>
      <c r="V53" s="9">
        <v>50001</v>
      </c>
      <c r="W53" s="9">
        <v>90001</v>
      </c>
      <c r="X53" s="9">
        <v>130001</v>
      </c>
      <c r="Y53">
        <f>IFERROR(IF(VLOOKUP(L53,Karakterlap!$P$3:$Z$4,10,FALSE)&gt;13,165001+((VLOOKUP(L53,Karakterlap!$P$3:$Z$4,10,FALSE)-13)*50000),165001),165001)</f>
        <v>165001</v>
      </c>
      <c r="Z53" s="9">
        <v>5</v>
      </c>
      <c r="AA53" s="9">
        <v>17</v>
      </c>
      <c r="AB53" s="9">
        <v>72</v>
      </c>
      <c r="AC53" s="9">
        <v>0</v>
      </c>
      <c r="AD53" s="9">
        <f>IFERROR(VLOOKUP(L53,Karakterlap!$P$3:$Z$4,10,FALSE)*8,8)</f>
        <v>8</v>
      </c>
      <c r="AE53" s="9">
        <f>IFERROR(IF(Karakterlap!$P$5="Váltott kaszt",IF(Karakterlap!$P$3=Adattábla!$L53,Karakterlap!$Y$3*3,IF(Karakterlap!$P$4=Adattábla!$L53,(Karakterlap!$Y$4-Adattábla!$I$20)*3,3)),VLOOKUP(Adattábla!$L53,Karakterlap!$P$3:$Z$4,10,FALSE)*3),3)</f>
        <v>3</v>
      </c>
      <c r="AF53" s="9">
        <f>IFERROR(IF(Karakterlap!$P$5="Váltott kaszt",IF(Karakterlap!$P$3=Adattábla!$L53,Karakterlap!$Y$3*3,IF(Karakterlap!$P$4=Adattábla!$L53,(Karakterlap!$Y$4-Adattábla!$I$20)*3,3)),VLOOKUP(Adattábla!$L53,Karakterlap!$P$3:$Z$4,10,FALSE)*3),3)</f>
        <v>3</v>
      </c>
      <c r="AG53" s="9">
        <v>6</v>
      </c>
      <c r="AH53" s="9">
        <f>IF(Karakterlap!$P$5="Iker kaszt",IF(Karakterlap!$P$3=L53,IFERROR((Karakterlap!$P$6*10)+(VLOOKUP(L53,Karakterlap!$P$3:$Z$4,10,FALSE)-Karakterlap!$P$6),10),IF(Karakterlap!$P$4=L53,VLOOKUP(L53,Karakterlap!$P$3:$Z$4,10,FALSE),10)),IF(Karakterlap!$P$5="Váltott kaszt",IF(L53=Karakterlap!$P$3,(Karakterlap!$Y$3+3)*10,VLOOKUP(L53,Karakterlap!$P$3:$Z$4,10,FALSE)*10),IFERROR(VLOOKUP(L53,Karakterlap!$P$3:$Z$4,10,FALSE)*10,10)))</f>
        <v>10</v>
      </c>
      <c r="AI53" s="9">
        <v>0</v>
      </c>
      <c r="AJ53" s="9">
        <v>6</v>
      </c>
      <c r="AK53" s="9">
        <v>6</v>
      </c>
      <c r="AL53" s="9">
        <f>IFERROR(VLOOKUP(L53,Karakterlap!$P$3:$Z$4,10,FALSE)*($E$18+2),$E$18+2)</f>
        <v>8</v>
      </c>
      <c r="AM53" s="9">
        <f>IFERROR(IF(VLOOKUP(L53,Karakterlap!$P$3:$Z$4,10,FALSE)&gt;1,9+((VLOOKUP(L53,Karakterlap!$P$3:$Z$4,10,FALSE)-1)*((ROUND($E$18/2,0))+6)),9),9)</f>
        <v>9</v>
      </c>
      <c r="AN53" t="s">
        <v>92</v>
      </c>
      <c r="AO53" t="str">
        <f>IFERROR((IF(Karakterlap!$F$9&gt;10,Karakterlap!$F$9-10,0))+5+((VLOOKUP(L53,Karakterlap!$P$3:$Z$4,10,FALSE)-1)*4),"más kaszt")</f>
        <v>más kaszt</v>
      </c>
      <c r="BA53">
        <f>IFERROR(IF(Karakterlap!$P$6&gt;13,165001+((Karakterlap!$P$6-13)*50000),165001),165001)</f>
        <v>165001</v>
      </c>
      <c r="BB53" s="36">
        <f>VLOOKUP("2k6+6",$I$2:$J$11,2,FALSE)+IFERROR(VLOOKUP(Karakterlap!$V$7,$A$24:$C$33,3,FALSE),0)</f>
        <v>13</v>
      </c>
      <c r="BC53" s="36">
        <f>VLOOKUP("2k6+6",$I$2:$J$11,2,FALSE)+IFERROR(VLOOKUP(Karakterlap!$V$7,$A$24:$D$33,4,FALSE),0)</f>
        <v>13</v>
      </c>
      <c r="BD53" s="36">
        <f>VLOOKUP("3k6(2x)",$I$2:$J$11,2,FALSE)+IFERROR(VLOOKUP(Karakterlap!$V$7,$A$24:$E$33,5,FALSE),0)</f>
        <v>11</v>
      </c>
      <c r="BE53" s="36">
        <f>VLOOKUP("3k6(2x)",$I$2:$J$11,2,FALSE)+IFERROR(VLOOKUP(Karakterlap!$V$7,$A$24:$F$33,6,FALSE),0)</f>
        <v>11</v>
      </c>
      <c r="BF53" s="36">
        <f>VLOOKUP("k10+8",$I$2:$J$11,2,FALSE)+IFERROR(VLOOKUP(Karakterlap!$V$7,$A$24:$G$33,7,FALSE),0)</f>
        <v>14</v>
      </c>
      <c r="BG53" s="48">
        <f>VLOOKUP("k10+10",$I$2:$J$11,2,FALSE)+IFERROR(VLOOKUP(Karakterlap!$V$7,$A$24:$H$33,8,FALSE),0)</f>
        <v>16</v>
      </c>
      <c r="BH53" s="36">
        <f>VLOOKUP("k10+8",$I$2:$J$11,2,FALSE)+IFERROR(VLOOKUP(Karakterlap!$V$7,$A$24:$I$33,9,FALSE),0)</f>
        <v>14</v>
      </c>
      <c r="BI53" s="36">
        <f t="shared" si="2"/>
        <v>14</v>
      </c>
      <c r="BJ53" s="36">
        <f>VLOOKUP("k6+12",$I$2:$J$11,2,FALSE)+IFERROR(VLOOKUP(Karakterlap!$V$7,$A$24:$J$33,10,FALSE),0)</f>
        <v>16</v>
      </c>
      <c r="BK53" s="36">
        <f t="shared" si="3"/>
        <v>14</v>
      </c>
      <c r="BL53" s="36">
        <f>IF((SUM(Karakterlap!$F$3:$F$12)-SUM(BB53:BK53))&lt;0,0,SUM(Karakterlap!$F$3:$F$12)-SUM(BB53:BK53))</f>
        <v>0</v>
      </c>
      <c r="BM53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53&gt;18,BI53,18))&gt;0,Karakterlap!$F$10-IF(BI53&gt;18,BI53,18),0),0)+IF(Karakterlap!$F$11&gt;(18+IFERROR(VLOOKUP(Karakterlap!$V$7,$A$24:$J$33,10,FALSE),0)),(Karakterlap!$F$11-(18+IFERROR(VLOOKUP(Karakterlap!$V$7,$A$24:$J$33,10,FALSE),0))),0)+IF(Karakterlap!$F$12&gt;18,IF((Karakterlap!$F$12-IF(BK53&gt;18,BK53,18))&gt;0,Karakterlap!$F$12-IF(BK53&gt;18,BK53,18),0),0)</f>
        <v>#VALUE!</v>
      </c>
      <c r="BU53" t="s">
        <v>977</v>
      </c>
      <c r="BV53" t="s">
        <v>977</v>
      </c>
      <c r="BW53" s="5"/>
      <c r="BX53" s="97" t="s">
        <v>189</v>
      </c>
      <c r="BY53" s="97" t="s">
        <v>189</v>
      </c>
      <c r="BZ53" s="97" t="s">
        <v>187</v>
      </c>
      <c r="CA53" s="97" t="s">
        <v>187</v>
      </c>
      <c r="CB53" s="97" t="s">
        <v>190</v>
      </c>
      <c r="CC53" s="97" t="s">
        <v>193</v>
      </c>
      <c r="CD53" s="97" t="s">
        <v>190</v>
      </c>
      <c r="CE53" s="97" t="s">
        <v>190</v>
      </c>
      <c r="CF53" s="97" t="s">
        <v>192</v>
      </c>
      <c r="CG53" s="97" t="s">
        <v>190</v>
      </c>
    </row>
    <row r="54" spans="1:85" x14ac:dyDescent="0.2">
      <c r="A54" t="s">
        <v>878</v>
      </c>
      <c r="L54" t="s">
        <v>795</v>
      </c>
      <c r="M54" s="9">
        <v>0</v>
      </c>
      <c r="N54" s="9">
        <v>161</v>
      </c>
      <c r="O54" s="9">
        <v>331</v>
      </c>
      <c r="P54" s="9">
        <v>661</v>
      </c>
      <c r="Q54" s="9">
        <v>1301</v>
      </c>
      <c r="R54" s="9">
        <v>2601</v>
      </c>
      <c r="S54" s="9">
        <v>5001</v>
      </c>
      <c r="T54" s="9">
        <v>9001</v>
      </c>
      <c r="U54" s="9">
        <v>23001</v>
      </c>
      <c r="V54" s="9">
        <v>50001</v>
      </c>
      <c r="W54" s="9">
        <v>90001</v>
      </c>
      <c r="X54" s="9">
        <v>130001</v>
      </c>
      <c r="Y54">
        <f>IFERROR(IF(VLOOKUP(L54,Karakterlap!$P$3:$Z$4,10,FALSE)&gt;13,165001+((VLOOKUP(L54,Karakterlap!$P$3:$Z$4,10,FALSE)-13)*50000),165001),165001)</f>
        <v>165001</v>
      </c>
      <c r="Z54" s="9">
        <v>5</v>
      </c>
      <c r="AA54" s="9">
        <v>15</v>
      </c>
      <c r="AB54" s="9">
        <v>65</v>
      </c>
      <c r="AC54" s="9">
        <v>0</v>
      </c>
      <c r="AD54" s="9">
        <f>IFERROR(VLOOKUP(L54,Karakterlap!$P$3:$Z$4,10,FALSE)*6,6)</f>
        <v>6</v>
      </c>
      <c r="AE54" s="9">
        <v>0</v>
      </c>
      <c r="AF54" s="9">
        <v>0</v>
      </c>
      <c r="AG54" s="9">
        <v>6</v>
      </c>
      <c r="AH54" s="9">
        <f>IF(Karakterlap!$P$5="Iker kaszt",IF(Karakterlap!$P$3=L54,IFERROR((Karakterlap!$P$6*10)+(VLOOKUP(L54,Karakterlap!$P$3:$Z$4,10,FALSE)-Karakterlap!$P$6),10),IF(Karakterlap!$P$4=L54,VLOOKUP(L54,Karakterlap!$P$3:$Z$4,10,FALSE),10)),IF(Karakterlap!$P$5="Váltott kaszt",IF(L54=Karakterlap!$P$3,(Karakterlap!$Y$3+3)*10,VLOOKUP(L54,Karakterlap!$P$3:$Z$4,10,FALSE)*10),IFERROR(VLOOKUP(L54,Karakterlap!$P$3:$Z$4,10,FALSE)*10,10)))</f>
        <v>10</v>
      </c>
      <c r="AI54" s="9">
        <v>0</v>
      </c>
      <c r="AJ54" s="9">
        <v>6</v>
      </c>
      <c r="AK54" s="9">
        <v>6</v>
      </c>
      <c r="AL54" s="9">
        <f>IFERROR(VLOOKUP(L54,Karakterlap!$P$3:$Z$4,10,FALSE)*($E$18+2),$E$18+2)</f>
        <v>8</v>
      </c>
      <c r="AM54" s="9">
        <f>IFERROR(VLOOKUP(L54,Karakterlap!$P$3:$Z$4,10,FALSE)*6,0)</f>
        <v>0</v>
      </c>
      <c r="AN54" t="s">
        <v>92</v>
      </c>
      <c r="AO54" t="str">
        <f>IFERROR((IF(Karakterlap!$F$9&gt;10,Karakterlap!$F$9-10,0))+5+((VLOOKUP(L54,Karakterlap!$P$3:$Z$4,10,FALSE)-1)*4),"más kaszt")</f>
        <v>más kaszt</v>
      </c>
      <c r="BA54">
        <f>IFERROR(IF(Karakterlap!$P$6&gt;13,165001+((Karakterlap!$P$6-13)*50000),165001),165001)</f>
        <v>165001</v>
      </c>
      <c r="BB54" s="36">
        <f>VLOOKUP("2k6+6",$I$2:$J$11,2,FALSE)+IFERROR(VLOOKUP(Karakterlap!$V$7,$A$24:$C$33,3,FALSE),0)</f>
        <v>13</v>
      </c>
      <c r="BC54" s="36">
        <f>VLOOKUP("2k6+6",$I$2:$J$11,2,FALSE)+IFERROR(VLOOKUP(Karakterlap!$V$7,$A$24:$D$33,4,FALSE),0)</f>
        <v>13</v>
      </c>
      <c r="BD54" s="36">
        <f>VLOOKUP("3k6(2x)",$I$2:$J$11,2,FALSE)+IFERROR(VLOOKUP(Karakterlap!$V$7,$A$24:$E$33,5,FALSE),0)</f>
        <v>11</v>
      </c>
      <c r="BE54" s="36">
        <f>VLOOKUP("3k6(2x)",$I$2:$J$11,2,FALSE)+IFERROR(VLOOKUP(Karakterlap!$V$7,$A$24:$F$33,6,FALSE),0)</f>
        <v>11</v>
      </c>
      <c r="BF54" s="36">
        <f>VLOOKUP("k10+8",$I$2:$J$11,2,FALSE)+IFERROR(VLOOKUP(Karakterlap!$V$7,$A$24:$G$33,7,FALSE),0)</f>
        <v>14</v>
      </c>
      <c r="BG54" s="48">
        <f>VLOOKUP("k10+10",$I$2:$J$11,2,FALSE)+IFERROR(VLOOKUP(Karakterlap!$V$7,$A$24:$H$33,8,FALSE),0)</f>
        <v>16</v>
      </c>
      <c r="BH54" s="36">
        <f>VLOOKUP("k10+8",$I$2:$J$11,2,FALSE)+IFERROR(VLOOKUP(Karakterlap!$V$7,$A$24:$I$33,9,FALSE),0)</f>
        <v>14</v>
      </c>
      <c r="BI54" s="36">
        <f t="shared" si="2"/>
        <v>14</v>
      </c>
      <c r="BJ54" s="36">
        <f>VLOOKUP("k6+12",$I$2:$J$11,2,FALSE)+IFERROR(VLOOKUP(Karakterlap!$V$7,$A$24:$J$33,10,FALSE),0)</f>
        <v>16</v>
      </c>
      <c r="BK54" s="36">
        <f t="shared" si="3"/>
        <v>14</v>
      </c>
      <c r="BL54" s="36">
        <f>IF((SUM(Karakterlap!$F$3:$F$12)-SUM(BB54:BK54))&lt;0,0,SUM(Karakterlap!$F$3:$F$12)-SUM(BB54:BK54))</f>
        <v>0</v>
      </c>
      <c r="BM54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54&gt;18,BI54,18))&gt;0,Karakterlap!$F$10-IF(BI54&gt;18,BI54,18),0),0)+IF(Karakterlap!$F$11&gt;(18+IFERROR(VLOOKUP(Karakterlap!$V$7,$A$24:$J$33,10,FALSE),0)),(Karakterlap!$F$11-(18+IFERROR(VLOOKUP(Karakterlap!$V$7,$A$24:$J$33,10,FALSE),0))),0)+IF(Karakterlap!$F$12&gt;18,IF((Karakterlap!$F$12-IF(BK54&gt;18,BK54,18))&gt;0,Karakterlap!$F$12-IF(BK54&gt;18,BK54,18),0),0)</f>
        <v>#VALUE!</v>
      </c>
      <c r="BU54" t="s">
        <v>977</v>
      </c>
      <c r="BV54" t="s">
        <v>977</v>
      </c>
      <c r="BW54" s="5"/>
      <c r="BX54" s="97" t="s">
        <v>189</v>
      </c>
      <c r="BY54" s="97" t="s">
        <v>189</v>
      </c>
      <c r="BZ54" s="97" t="s">
        <v>187</v>
      </c>
      <c r="CA54" s="97" t="s">
        <v>187</v>
      </c>
      <c r="CB54" s="97" t="s">
        <v>190</v>
      </c>
      <c r="CC54" s="97" t="s">
        <v>193</v>
      </c>
      <c r="CD54" s="97" t="s">
        <v>190</v>
      </c>
      <c r="CE54" s="97" t="s">
        <v>190</v>
      </c>
      <c r="CF54" s="97" t="s">
        <v>192</v>
      </c>
      <c r="CG54" s="97" t="s">
        <v>190</v>
      </c>
    </row>
    <row r="55" spans="1:85" x14ac:dyDescent="0.2">
      <c r="A55" t="s">
        <v>879</v>
      </c>
      <c r="L55" t="s">
        <v>797</v>
      </c>
      <c r="M55">
        <v>0</v>
      </c>
      <c r="N55">
        <v>161</v>
      </c>
      <c r="O55">
        <v>331</v>
      </c>
      <c r="P55">
        <v>661</v>
      </c>
      <c r="Q55">
        <v>1301</v>
      </c>
      <c r="R55">
        <v>2601</v>
      </c>
      <c r="S55">
        <v>5001</v>
      </c>
      <c r="T55">
        <v>9001</v>
      </c>
      <c r="U55">
        <v>23001</v>
      </c>
      <c r="V55">
        <v>50001</v>
      </c>
      <c r="W55">
        <v>90001</v>
      </c>
      <c r="X55">
        <v>130001</v>
      </c>
      <c r="Y55">
        <f>IFERROR(IF(VLOOKUP(L55,Karakterlap!$P$3:$Z$4,10,FALSE)&gt;13,165001+((VLOOKUP(L55,Karakterlap!$P$3:$Z$4,10,FALSE)-13)*50000),165001),165001)</f>
        <v>165001</v>
      </c>
      <c r="Z55">
        <v>5</v>
      </c>
      <c r="AA55">
        <v>17</v>
      </c>
      <c r="AB55">
        <v>72</v>
      </c>
      <c r="AC55">
        <v>0</v>
      </c>
      <c r="AD55">
        <f>IFERROR(VLOOKUP(L55,Karakterlap!$P$3:$Z$4,10,FALSE)*8,8)</f>
        <v>8</v>
      </c>
      <c r="AE55">
        <f>IFERROR(IF(Karakterlap!$P$5="Váltott kaszt",IF(Karakterlap!$P$3=Adattábla!$L55,Karakterlap!$Y$3*3,IF(Karakterlap!$P$4=Adattábla!$L55,(Karakterlap!$Y$4-Adattábla!$I$20)*3,3)),VLOOKUP(Adattábla!$L55,Karakterlap!$P$3:$Z$4,10,FALSE)*3),3)</f>
        <v>3</v>
      </c>
      <c r="AF55">
        <f>IFERROR(IF(Karakterlap!$P$5="Váltott kaszt",IF(Karakterlap!$P$3=Adattábla!$L55,Karakterlap!$Y$3*3,IF(Karakterlap!$P$4=Adattábla!$L55,(Karakterlap!$Y$4-Adattábla!$I$20)*3,3)),VLOOKUP(Adattábla!$L55,Karakterlap!$P$3:$Z$4,10,FALSE)*3),3)</f>
        <v>3</v>
      </c>
      <c r="AG55">
        <v>6</v>
      </c>
      <c r="AH55">
        <f>IF(Karakterlap!$P$5="Iker kaszt",IF(Karakterlap!$P$3=L55,IFERROR((Karakterlap!$P$6*10)+(VLOOKUP(L55,Karakterlap!$P$3:$Z$4,10,FALSE)-Karakterlap!$P$6),10),IF(Karakterlap!$P$4=L55,VLOOKUP(L55,Karakterlap!$P$3:$Z$4,10,FALSE),10)),IF(Karakterlap!$P$5="Váltott kaszt",IF(L55=Karakterlap!$P$3,10+((VLOOKUP(L55,Karakterlap!$P$3:$Z$4,10,FALSE)+2)*12),IF(VLOOKUP(L55,Karakterlap!$P$3:$Z$4,10,FALSE)&gt;1,10+((VLOOKUP(L55,Karakterlap!$P$3:$Z$4,10,FALSE)-1)*12),10)),IFERROR(IF(VLOOKUP(L55,Karakterlap!$P$3:$Z$4,10,FALSE)&gt;1,10+((VLOOKUP(L55,Karakterlap!$P$3:$Z$4,10,FALSE)-1)*12),10),10)))</f>
        <v>10</v>
      </c>
      <c r="AI55" s="9">
        <v>0</v>
      </c>
      <c r="AJ55">
        <v>6</v>
      </c>
      <c r="AK55">
        <v>6</v>
      </c>
      <c r="AL55">
        <f>IFERROR(VLOOKUP(L55,Karakterlap!$P$3:$Z$4,10,FALSE)*($E$18+2),$E$18+2)</f>
        <v>8</v>
      </c>
      <c r="AM55" s="9">
        <f>IFERROR(IF(VLOOKUP(L55,Karakterlap!$P$3:$Z$4,10,FALSE)&gt;1,9+((VLOOKUP(L55,Karakterlap!$P$3:$Z$4,10,FALSE)-1)*((ROUND($E$18/2,0))+6)),9),9)</f>
        <v>9</v>
      </c>
      <c r="AN55" t="s">
        <v>92</v>
      </c>
      <c r="AO55" t="str">
        <f>IFERROR((IF(Karakterlap!$F$9&gt;10,Karakterlap!$F$9-10,0))+5+((VLOOKUP(L55,Karakterlap!$P$3:$Z$4,10,FALSE)-1)*4),"más kaszt")</f>
        <v>más kaszt</v>
      </c>
      <c r="BA55">
        <f>IFERROR(IF(Karakterlap!$P$6&gt;13,165001+((Karakterlap!$P$6-13)*50000),165001),165001)</f>
        <v>165001</v>
      </c>
      <c r="BB55" s="36">
        <f>VLOOKUP("2k6+6",$I$2:$J$11,2,FALSE)+IFERROR(VLOOKUP(Karakterlap!$V$7,$A$24:$C$33,3,FALSE),0)</f>
        <v>13</v>
      </c>
      <c r="BC55" s="36">
        <f>VLOOKUP("2k6+6",$I$2:$J$11,2,FALSE)+IFERROR(VLOOKUP(Karakterlap!$V$7,$A$24:$D$33,4,FALSE),0)</f>
        <v>13</v>
      </c>
      <c r="BD55" s="36">
        <f>VLOOKUP("3k6(2x)",$I$2:$J$11,2,FALSE)+IFERROR(VLOOKUP(Karakterlap!$V$7,$A$24:$E$33,5,FALSE),0)</f>
        <v>11</v>
      </c>
      <c r="BE55" s="36">
        <f>VLOOKUP("3k6(2x)",$I$2:$J$11,2,FALSE)+IFERROR(VLOOKUP(Karakterlap!$V$7,$A$24:$F$33,6,FALSE),0)</f>
        <v>11</v>
      </c>
      <c r="BF55" s="36">
        <f>VLOOKUP("k10+8",$I$2:$J$11,2,FALSE)+IFERROR(VLOOKUP(Karakterlap!$V$7,$A$24:$G$33,7,FALSE),0)</f>
        <v>14</v>
      </c>
      <c r="BG55" s="48">
        <f>VLOOKUP("k10+10",$I$2:$J$11,2,FALSE)+IFERROR(VLOOKUP(Karakterlap!$V$7,$A$24:$H$33,8,FALSE),0)</f>
        <v>16</v>
      </c>
      <c r="BH55" s="36">
        <f>VLOOKUP("k10+8",$I$2:$J$11,2,FALSE)+IFERROR(VLOOKUP(Karakterlap!$V$7,$A$24:$I$33,9,FALSE),0)</f>
        <v>14</v>
      </c>
      <c r="BI55" s="36">
        <f t="shared" si="2"/>
        <v>14</v>
      </c>
      <c r="BJ55" s="36">
        <f>VLOOKUP("k6+12",$I$2:$J$11,2,FALSE)+IFERROR(VLOOKUP(Karakterlap!$V$7,$A$24:$J$33,10,FALSE),0)</f>
        <v>16</v>
      </c>
      <c r="BK55" s="36">
        <f t="shared" si="3"/>
        <v>14</v>
      </c>
      <c r="BL55" s="36">
        <f>IF((SUM(Karakterlap!$F$3:$F$12)-SUM(BB55:BK55))&lt;0,0,SUM(Karakterlap!$F$3:$F$12)-SUM(BB55:BK55))</f>
        <v>0</v>
      </c>
      <c r="BM55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55&gt;18,BI55,18))&gt;0,Karakterlap!$F$10-IF(BI55&gt;18,BI55,18),0),0)+IF(Karakterlap!$F$11&gt;(18+IFERROR(VLOOKUP(Karakterlap!$V$7,$A$24:$J$33,10,FALSE),0)),(Karakterlap!$F$11-(18+IFERROR(VLOOKUP(Karakterlap!$V$7,$A$24:$J$33,10,FALSE),0))),0)+IF(Karakterlap!$F$12&gt;18,IF((Karakterlap!$F$12-IF(BK55&gt;18,BK55,18))&gt;0,Karakterlap!$F$12-IF(BK55&gt;18,BK55,18),0),0)</f>
        <v>#VALUE!</v>
      </c>
      <c r="BU55" t="s">
        <v>977</v>
      </c>
      <c r="BV55" t="s">
        <v>977</v>
      </c>
      <c r="BW55" s="5"/>
      <c r="BX55" s="97" t="s">
        <v>189</v>
      </c>
      <c r="BY55" s="97" t="s">
        <v>189</v>
      </c>
      <c r="BZ55" s="97" t="s">
        <v>187</v>
      </c>
      <c r="CA55" s="97" t="s">
        <v>187</v>
      </c>
      <c r="CB55" s="97" t="s">
        <v>190</v>
      </c>
      <c r="CC55" s="97" t="s">
        <v>193</v>
      </c>
      <c r="CD55" s="97" t="s">
        <v>190</v>
      </c>
      <c r="CE55" s="97" t="s">
        <v>190</v>
      </c>
      <c r="CF55" s="97" t="s">
        <v>192</v>
      </c>
      <c r="CG55" s="97" t="s">
        <v>190</v>
      </c>
    </row>
    <row r="56" spans="1:85" x14ac:dyDescent="0.2">
      <c r="A56" t="s">
        <v>880</v>
      </c>
      <c r="L56" t="s">
        <v>798</v>
      </c>
      <c r="M56" s="9">
        <v>0</v>
      </c>
      <c r="N56" s="9">
        <v>161</v>
      </c>
      <c r="O56" s="9">
        <v>331</v>
      </c>
      <c r="P56" s="9">
        <v>661</v>
      </c>
      <c r="Q56" s="9">
        <v>1301</v>
      </c>
      <c r="R56" s="9">
        <v>2601</v>
      </c>
      <c r="S56" s="9">
        <v>5001</v>
      </c>
      <c r="T56" s="9">
        <v>9001</v>
      </c>
      <c r="U56" s="9">
        <v>23001</v>
      </c>
      <c r="V56" s="9">
        <v>50001</v>
      </c>
      <c r="W56" s="9">
        <v>90001</v>
      </c>
      <c r="X56" s="9">
        <v>130001</v>
      </c>
      <c r="Y56" s="9">
        <f>IFERROR(IF(VLOOKUP(L56,Karakterlap!$P$3:$Z$4,10,FALSE)&gt;13,165001+((VLOOKUP(L56,Karakterlap!$P$3:$Z$4,10,FALSE)-13)*50000),165001),165001)</f>
        <v>165001</v>
      </c>
      <c r="Z56" s="9">
        <v>5</v>
      </c>
      <c r="AA56" s="9">
        <v>17</v>
      </c>
      <c r="AB56" s="9">
        <v>72</v>
      </c>
      <c r="AC56" s="9">
        <v>0</v>
      </c>
      <c r="AD56" s="9">
        <f>IFERROR(VLOOKUP(L56,Karakterlap!$P$3:$Z$4,10,FALSE)*8,8)</f>
        <v>8</v>
      </c>
      <c r="AE56" s="9">
        <f>IFERROR(IF(Karakterlap!$P$5="Váltott kaszt",IF(Karakterlap!$P$3=Adattábla!$L56,Karakterlap!$Y$3*3,IF(Karakterlap!$P$4=Adattábla!$L56,(Karakterlap!$Y$4-Adattábla!$I$20)*3,3)),VLOOKUP(Adattábla!$L56,Karakterlap!$P$3:$Z$4,10,FALSE)*3),3)</f>
        <v>3</v>
      </c>
      <c r="AF56" s="9">
        <f>IFERROR(IF(Karakterlap!$P$5="Váltott kaszt",IF(Karakterlap!$P$3=Adattábla!$L56,Karakterlap!$Y$3*3,IF(Karakterlap!$P$4=Adattábla!$L56,(Karakterlap!$Y$4-Adattábla!$I$20)*3,3)),VLOOKUP(Adattábla!$L56,Karakterlap!$P$3:$Z$4,10,FALSE)*3),3)</f>
        <v>3</v>
      </c>
      <c r="AG56" s="9">
        <v>6</v>
      </c>
      <c r="AH56">
        <f>IF(Karakterlap!$P$5="Iker kaszt",IF(Karakterlap!$P$3=L56,IFERROR((Karakterlap!$P$6*10)+(VLOOKUP(L56,Karakterlap!$P$3:$Z$4,10,FALSE)-Karakterlap!$P$6),10),IF(Karakterlap!$P$4=L56,VLOOKUP(L56,Karakterlap!$P$3:$Z$4,10,FALSE),10)),IF(Karakterlap!$P$5="Váltott kaszt",IF(L56=Karakterlap!$P$3,(Karakterlap!$Y$3+3)*10,VLOOKUP(L56,Karakterlap!$P$3:$Z$4,10,FALSE)*10),IFERROR(VLOOKUP(L56,Karakterlap!$P$3:$Z$4,10,FALSE)*10,10)))</f>
        <v>10</v>
      </c>
      <c r="AI56" s="9">
        <v>0</v>
      </c>
      <c r="AJ56" s="9">
        <v>6</v>
      </c>
      <c r="AK56" s="9">
        <v>6</v>
      </c>
      <c r="AL56" s="9">
        <f>IFERROR(VLOOKUP(L56,Karakterlap!$P$3:$Z$4,10,FALSE)*($E$18+2),$E$18+2)</f>
        <v>8</v>
      </c>
      <c r="AM56" s="9">
        <f>IFERROR(IF(VLOOKUP(L56,Karakterlap!$P$3:$Z$4,10,FALSE)&gt;1,9+((VLOOKUP(L56,Karakterlap!$P$3:$Z$4,10,FALSE)-1)*((ROUND($E$18/2,0))+6)),9),9)</f>
        <v>9</v>
      </c>
      <c r="AN56" s="9" t="s">
        <v>92</v>
      </c>
      <c r="AO56" s="9" t="str">
        <f>IFERROR((IF(Karakterlap!$F$9&gt;10,Karakterlap!$F$9-10,0))+5+((VLOOKUP(L55,Karakterlap!$P$3:$Z$4,10,FALSE)-1)*4),"más kaszt")</f>
        <v>más kaszt</v>
      </c>
      <c r="AP56" s="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9">
        <f>IFERROR(IF(Karakterlap!$P$6&gt;13,165001+((Karakterlap!$P$6-13)*50000),165001),165001)</f>
        <v>165001</v>
      </c>
      <c r="BB56" s="36">
        <f>VLOOKUP("2k6+6",$I$2:$J$11,2,FALSE)+IFERROR(VLOOKUP(Karakterlap!$V$7,$A$24:$C$33,3,FALSE),0)</f>
        <v>13</v>
      </c>
      <c r="BC56" s="36">
        <f>VLOOKUP("2k6+6",$I$2:$J$11,2,FALSE)+IFERROR(VLOOKUP(Karakterlap!$V$7,$A$24:$D$33,4,FALSE),0)</f>
        <v>13</v>
      </c>
      <c r="BD56" s="36">
        <f>VLOOKUP("3k6(2x)",$I$2:$J$11,2,FALSE)+IFERROR(VLOOKUP(Karakterlap!$V$7,$A$24:$E$33,5,FALSE),0)</f>
        <v>11</v>
      </c>
      <c r="BE56" s="36">
        <f>VLOOKUP("3k6(2x)",$I$2:$J$11,2,FALSE)+IFERROR(VLOOKUP(Karakterlap!$V$7,$A$24:$F$33,6,FALSE),0)</f>
        <v>11</v>
      </c>
      <c r="BF56" s="36">
        <f>VLOOKUP("k10+8",$I$2:$J$11,2,FALSE)+IFERROR(VLOOKUP(Karakterlap!$V$7,$A$24:$G$33,7,FALSE),0)</f>
        <v>14</v>
      </c>
      <c r="BG56" s="48">
        <f>VLOOKUP("k10+10",$I$2:$J$11,2,FALSE)+IFERROR(VLOOKUP(Karakterlap!$V$7,$A$24:$H$33,8,FALSE),0)</f>
        <v>16</v>
      </c>
      <c r="BH56" s="36">
        <f>VLOOKUP("k10+8",$I$2:$J$11,2,FALSE)+IFERROR(VLOOKUP(Karakterlap!$V$7,$A$24:$I$33,9,FALSE),0)</f>
        <v>14</v>
      </c>
      <c r="BI56" s="36">
        <f t="shared" si="2"/>
        <v>14</v>
      </c>
      <c r="BJ56" s="36">
        <f>VLOOKUP("k6+12",$I$2:$J$11,2,FALSE)+IFERROR(VLOOKUP(Karakterlap!$V$7,$A$24:$J$33,10,FALSE),0)</f>
        <v>16</v>
      </c>
      <c r="BK56" s="36">
        <f t="shared" si="3"/>
        <v>14</v>
      </c>
      <c r="BL56" s="36">
        <f>IF((SUM(Karakterlap!$F$3:$F$12)-SUM(BB56:BK56))&lt;0,0,SUM(Karakterlap!$F$3:$F$12)-SUM(BB56:BK56))</f>
        <v>0</v>
      </c>
      <c r="BM56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56&gt;18,BI56,18))&gt;0,Karakterlap!$F$10-IF(BI56&gt;18,BI56,18),0),0)+IF(Karakterlap!$F$11&gt;(18+IFERROR(VLOOKUP(Karakterlap!$V$7,$A$24:$J$33,10,FALSE),0)),(Karakterlap!$F$11-(18+IFERROR(VLOOKUP(Karakterlap!$V$7,$A$24:$J$33,10,FALSE),0))),0)+IF(Karakterlap!$F$12&gt;18,IF((Karakterlap!$F$12-IF(BK56&gt;18,BK56,18))&gt;0,Karakterlap!$F$12-IF(BK56&gt;18,BK56,18),0),0)</f>
        <v>#VALUE!</v>
      </c>
      <c r="BU56" t="s">
        <v>977</v>
      </c>
      <c r="BV56" t="s">
        <v>977</v>
      </c>
      <c r="BW56" s="5"/>
      <c r="BX56" s="97" t="s">
        <v>189</v>
      </c>
      <c r="BY56" s="97" t="s">
        <v>189</v>
      </c>
      <c r="BZ56" s="97" t="s">
        <v>187</v>
      </c>
      <c r="CA56" s="97" t="s">
        <v>187</v>
      </c>
      <c r="CB56" s="97" t="s">
        <v>190</v>
      </c>
      <c r="CC56" s="97" t="s">
        <v>193</v>
      </c>
      <c r="CD56" s="97" t="s">
        <v>190</v>
      </c>
      <c r="CE56" s="97" t="s">
        <v>190</v>
      </c>
      <c r="CF56" s="97" t="s">
        <v>192</v>
      </c>
      <c r="CG56" s="97" t="s">
        <v>190</v>
      </c>
    </row>
    <row r="57" spans="1:85" x14ac:dyDescent="0.2">
      <c r="A57" t="s">
        <v>881</v>
      </c>
      <c r="L57" t="s">
        <v>862</v>
      </c>
      <c r="M57" s="9">
        <v>0</v>
      </c>
      <c r="N57" s="9">
        <v>161</v>
      </c>
      <c r="O57" s="9">
        <v>331</v>
      </c>
      <c r="P57" s="9">
        <v>661</v>
      </c>
      <c r="Q57" s="9">
        <v>1301</v>
      </c>
      <c r="R57" s="9">
        <v>2601</v>
      </c>
      <c r="S57" s="9">
        <v>5001</v>
      </c>
      <c r="T57" s="9">
        <v>9001</v>
      </c>
      <c r="U57" s="9">
        <v>23001</v>
      </c>
      <c r="V57" s="9">
        <v>50001</v>
      </c>
      <c r="W57" s="9">
        <v>90001</v>
      </c>
      <c r="X57" s="9">
        <v>130001</v>
      </c>
      <c r="Y57">
        <f>IFERROR(IF(VLOOKUP(L57,Karakterlap!$P$3:$Z$4,10,FALSE)&gt;13,165001+((VLOOKUP(L57,Karakterlap!$P$3:$Z$4,10,FALSE)-13)*50000),165001),165001)</f>
        <v>165001</v>
      </c>
      <c r="Z57" s="9">
        <v>5</v>
      </c>
      <c r="AA57" s="9">
        <v>17</v>
      </c>
      <c r="AB57" s="9">
        <v>72</v>
      </c>
      <c r="AC57" s="9">
        <v>0</v>
      </c>
      <c r="AD57" s="9">
        <f>IFERROR(VLOOKUP(L57,Karakterlap!$P$3:$Z$4,10,FALSE)*8,8)</f>
        <v>8</v>
      </c>
      <c r="AE57" s="9">
        <f>IFERROR(IF(Karakterlap!$P$5="Váltott kaszt",IF(Karakterlap!$P$3=Adattábla!$L57,Karakterlap!$Y$3*3,IF(Karakterlap!$P$4=Adattábla!$L57,(Karakterlap!$Y$4-Adattábla!$I$20)*3,3)),VLOOKUP(Adattábla!$L57,Karakterlap!$P$3:$Z$4,10,FALSE)*3),3)</f>
        <v>3</v>
      </c>
      <c r="AF57" s="9">
        <f>IFERROR(IF(Karakterlap!$P$5="Váltott kaszt",IF(Karakterlap!$P$3=Adattábla!$L57,Karakterlap!$Y$3*3,IF(Karakterlap!$P$4=Adattábla!$L57,(Karakterlap!$Y$4-Adattábla!$I$20)*3,3)),VLOOKUP(Adattábla!$L57,Karakterlap!$P$3:$Z$4,10,FALSE)*3),3)</f>
        <v>3</v>
      </c>
      <c r="AG57" s="9">
        <v>6</v>
      </c>
      <c r="AH57" s="9">
        <f>IF(Karakterlap!$P$5="Iker kaszt",IF(Karakterlap!$P$3=L57,IFERROR((Karakterlap!$P$6*10)+(VLOOKUP(L57,Karakterlap!$P$3:$Z$4,10,FALSE)-Karakterlap!$P$6),10),IF(Karakterlap!$P$4=L57,VLOOKUP(L57,Karakterlap!$P$3:$Z$4,10,FALSE),10)),IF(Karakterlap!$P$5="Váltott kaszt",IF(L57=Karakterlap!$P$3,(Karakterlap!$Y$3+3)*10,VLOOKUP(L57,Karakterlap!$P$3:$Z$4,10,FALSE)*10),IFERROR(VLOOKUP(L57,Karakterlap!$P$3:$Z$4,10,FALSE)*10,10)))</f>
        <v>10</v>
      </c>
      <c r="AI57" s="9">
        <v>0</v>
      </c>
      <c r="AJ57" s="9">
        <v>6</v>
      </c>
      <c r="AK57" s="9">
        <v>6</v>
      </c>
      <c r="AL57" s="9">
        <f>IFERROR(VLOOKUP(L57,Karakterlap!$P$3:$Z$4,10,FALSE)*($E$18+2),$E$18+2)</f>
        <v>8</v>
      </c>
      <c r="AM57" s="9">
        <f>IFERROR(IF(VLOOKUP(L57,Karakterlap!$P$3:$Z$4,10,FALSE)&gt;1,9+((VLOOKUP(L57,Karakterlap!$P$3:$Z$4,10,FALSE)-1)*((ROUND($E$18/2,0))+6)),9),9)</f>
        <v>9</v>
      </c>
      <c r="AN57" t="s">
        <v>92</v>
      </c>
      <c r="AO57" t="str">
        <f>IFERROR((IF(Karakterlap!$F$9&gt;10,Karakterlap!$F$9-10,0))+5+((VLOOKUP(L57,Karakterlap!$P$3:$Z$4,10,FALSE)-1)*4),"más kaszt")</f>
        <v>más kaszt</v>
      </c>
      <c r="BA57">
        <f>IFERROR(IF(Karakterlap!$P$6&gt;13,165001+((Karakterlap!$P$6-13)*50000),165001),165001)</f>
        <v>165001</v>
      </c>
      <c r="BB57" s="36">
        <f>VLOOKUP("2k6+6",$I$2:$J$11,2,FALSE)+IFERROR(VLOOKUP(Karakterlap!$V$7,$A$24:$C$33,3,FALSE),0)</f>
        <v>13</v>
      </c>
      <c r="BC57" s="36">
        <f>VLOOKUP("2k6+6",$I$2:$J$11,2,FALSE)+IFERROR(VLOOKUP(Karakterlap!$V$7,$A$24:$D$33,4,FALSE),0)</f>
        <v>13</v>
      </c>
      <c r="BD57" s="36">
        <f>VLOOKUP("3k6(2x)",$I$2:$J$11,2,FALSE)+IFERROR(VLOOKUP(Karakterlap!$V$7,$A$24:$E$33,5,FALSE),0)</f>
        <v>11</v>
      </c>
      <c r="BE57" s="36">
        <f>VLOOKUP("3k6(2x)",$I$2:$J$11,2,FALSE)+IFERROR(VLOOKUP(Karakterlap!$V$7,$A$24:$F$33,6,FALSE),0)</f>
        <v>11</v>
      </c>
      <c r="BF57" s="36">
        <f>VLOOKUP("k10+8",$I$2:$J$11,2,FALSE)+IFERROR(VLOOKUP(Karakterlap!$V$7,$A$24:$G$33,7,FALSE),0)</f>
        <v>14</v>
      </c>
      <c r="BG57" s="48">
        <f>VLOOKUP("k10+10",$I$2:$J$11,2,FALSE)+IFERROR(VLOOKUP(Karakterlap!$V$7,$A$24:$H$33,8,FALSE),0)</f>
        <v>16</v>
      </c>
      <c r="BH57" s="36">
        <f>VLOOKUP("k10+8",$I$2:$J$11,2,FALSE)+IFERROR(VLOOKUP(Karakterlap!$V$7,$A$24:$I$33,9,FALSE),0)</f>
        <v>14</v>
      </c>
      <c r="BI57" s="36">
        <f t="shared" si="2"/>
        <v>14</v>
      </c>
      <c r="BJ57" s="36">
        <f>VLOOKUP("k6+12",$I$2:$J$11,2,FALSE)+IFERROR(VLOOKUP(Karakterlap!$V$7,$A$24:$J$33,10,FALSE),0)</f>
        <v>16</v>
      </c>
      <c r="BK57" s="36">
        <f t="shared" si="3"/>
        <v>14</v>
      </c>
      <c r="BL57" s="36">
        <f>IF((SUM(Karakterlap!$F$3:$F$12)-SUM(BB57:BK57))&lt;0,0,SUM(Karakterlap!$F$3:$F$12)-SUM(BB57:BK57))</f>
        <v>0</v>
      </c>
      <c r="BM57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57&gt;18,BI57,18))&gt;0,Karakterlap!$F$10-IF(BI57&gt;18,BI57,18),0),0)+IF(Karakterlap!$F$11&gt;(18+IFERROR(VLOOKUP(Karakterlap!$V$7,$A$24:$J$33,10,FALSE),0)),(Karakterlap!$F$11-(18+IFERROR(VLOOKUP(Karakterlap!$V$7,$A$24:$J$33,10,FALSE),0))),0)+IF(Karakterlap!$F$12&gt;18,IF((Karakterlap!$F$12-IF(BK57&gt;18,BK57,18))&gt;0,Karakterlap!$F$12-IF(BK57&gt;18,BK57,18),0),0)</f>
        <v>#VALUE!</v>
      </c>
      <c r="BU57" t="s">
        <v>977</v>
      </c>
      <c r="BV57" t="s">
        <v>977</v>
      </c>
      <c r="BW57" s="5"/>
      <c r="BX57" s="97" t="s">
        <v>189</v>
      </c>
      <c r="BY57" s="97" t="s">
        <v>189</v>
      </c>
      <c r="BZ57" s="97" t="s">
        <v>187</v>
      </c>
      <c r="CA57" s="97" t="s">
        <v>187</v>
      </c>
      <c r="CB57" s="97" t="s">
        <v>190</v>
      </c>
      <c r="CC57" s="97" t="s">
        <v>193</v>
      </c>
      <c r="CD57" s="97" t="s">
        <v>190</v>
      </c>
      <c r="CE57" s="97" t="s">
        <v>190</v>
      </c>
      <c r="CF57" s="97" t="s">
        <v>192</v>
      </c>
      <c r="CG57" s="97" t="s">
        <v>190</v>
      </c>
    </row>
    <row r="58" spans="1:85" x14ac:dyDescent="0.2">
      <c r="A58" t="s">
        <v>882</v>
      </c>
      <c r="L58" t="s">
        <v>863</v>
      </c>
      <c r="M58" s="9">
        <v>0</v>
      </c>
      <c r="N58" s="9">
        <v>161</v>
      </c>
      <c r="O58" s="9">
        <v>331</v>
      </c>
      <c r="P58" s="9">
        <v>661</v>
      </c>
      <c r="Q58" s="9">
        <v>1301</v>
      </c>
      <c r="R58" s="9">
        <v>2601</v>
      </c>
      <c r="S58" s="9">
        <v>5001</v>
      </c>
      <c r="T58" s="9">
        <v>9001</v>
      </c>
      <c r="U58" s="9">
        <v>23001</v>
      </c>
      <c r="V58" s="9">
        <v>50001</v>
      </c>
      <c r="W58" s="9">
        <v>90001</v>
      </c>
      <c r="X58" s="9">
        <v>130001</v>
      </c>
      <c r="Y58">
        <f>IFERROR(IF(VLOOKUP(L58,Karakterlap!$P$3:$Z$4,10,FALSE)&gt;13,165001+((VLOOKUP(L58,Karakterlap!$P$3:$Z$4,10,FALSE)-13)*50000),165001),165001)</f>
        <v>165001</v>
      </c>
      <c r="Z58" s="9">
        <v>5</v>
      </c>
      <c r="AA58" s="9">
        <v>17</v>
      </c>
      <c r="AB58" s="9">
        <v>72</v>
      </c>
      <c r="AC58" s="9">
        <v>0</v>
      </c>
      <c r="AD58" s="9">
        <f>IFERROR(VLOOKUP(L58,Karakterlap!$P$3:$Z$4,10,FALSE)*8,8)</f>
        <v>8</v>
      </c>
      <c r="AE58" s="9">
        <f>IFERROR(IF(Karakterlap!$P$5="Váltott kaszt",IF(Karakterlap!$P$3=Adattábla!$L58,Karakterlap!$Y$3*3,IF(Karakterlap!$P$4=Adattábla!$L58,(Karakterlap!$Y$4-Adattábla!$I$20)*3,3)),VLOOKUP(Adattábla!$L58,Karakterlap!$P$3:$Z$4,10,FALSE)*3),3)</f>
        <v>3</v>
      </c>
      <c r="AF58" s="9">
        <f>IFERROR(IF(Karakterlap!$P$5="Váltott kaszt",IF(Karakterlap!$P$3=Adattábla!$L58,Karakterlap!$Y$3*3,IF(Karakterlap!$P$4=Adattábla!$L58,(Karakterlap!$Y$4-Adattábla!$I$20)*3,3)),VLOOKUP(Adattábla!$L58,Karakterlap!$P$3:$Z$4,10,FALSE)*3),3)</f>
        <v>3</v>
      </c>
      <c r="AG58" s="9">
        <v>6</v>
      </c>
      <c r="AH58" s="9">
        <f>IF(Karakterlap!$P$5="Iker kaszt",IF(Karakterlap!$P$3=L58,IFERROR((Karakterlap!$P$6*10)+(VLOOKUP(L58,Karakterlap!$P$3:$Z$4,10,FALSE)-Karakterlap!$P$6),10),IF(Karakterlap!$P$4=L58,VLOOKUP(L58,Karakterlap!$P$3:$Z$4,10,FALSE),10)),IF(Karakterlap!$P$5="Váltott kaszt",IF(L58=Karakterlap!$P$3,(Karakterlap!$Y$3+3)*10,VLOOKUP(L58,Karakterlap!$P$3:$Z$4,10,FALSE)*10),IFERROR(VLOOKUP(L58,Karakterlap!$P$3:$Z$4,10,FALSE)*10,10)))</f>
        <v>10</v>
      </c>
      <c r="AI58" s="9">
        <v>0</v>
      </c>
      <c r="AJ58" s="9">
        <v>6</v>
      </c>
      <c r="AK58" s="9">
        <v>6</v>
      </c>
      <c r="AL58" s="9">
        <f>IFERROR(VLOOKUP(L58,Karakterlap!$P$3:$Z$4,10,FALSE)*($E$18+2),$E$18+2)</f>
        <v>8</v>
      </c>
      <c r="AM58" s="9">
        <f>IFERROR(IF(VLOOKUP(L58,Karakterlap!$P$3:$Z$4,10,FALSE)&gt;1,9+((VLOOKUP(L58,Karakterlap!$P$3:$Z$4,10,FALSE)-1)*((ROUND($E$18/2,0))+6)),9),9)</f>
        <v>9</v>
      </c>
      <c r="AN58" t="s">
        <v>92</v>
      </c>
      <c r="AO58" t="str">
        <f>IFERROR((IF(Karakterlap!$F$9&gt;10,Karakterlap!$F$9-10,0))+5+((VLOOKUP(L58,Karakterlap!$P$3:$Z$4,10,FALSE)-1)*4),"más kaszt")</f>
        <v>más kaszt</v>
      </c>
      <c r="BA58">
        <f>IFERROR(IF(Karakterlap!$P$6&gt;13,165001+((Karakterlap!$P$6-13)*50000),165001),165001)</f>
        <v>165001</v>
      </c>
      <c r="BB58" s="36">
        <f>VLOOKUP("2k6+6",$I$2:$J$11,2,FALSE)+IFERROR(VLOOKUP(Karakterlap!$V$7,$A$24:$C$33,3,FALSE),0)</f>
        <v>13</v>
      </c>
      <c r="BC58" s="36">
        <f>VLOOKUP("2k6+6",$I$2:$J$11,2,FALSE)+IFERROR(VLOOKUP(Karakterlap!$V$7,$A$24:$D$33,4,FALSE),0)</f>
        <v>13</v>
      </c>
      <c r="BD58" s="36">
        <f>VLOOKUP("3k6(2x)",$I$2:$J$11,2,FALSE)+IFERROR(VLOOKUP(Karakterlap!$V$7,$A$24:$E$33,5,FALSE),0)</f>
        <v>11</v>
      </c>
      <c r="BE58" s="36">
        <f>VLOOKUP("3k6(2x)",$I$2:$J$11,2,FALSE)+IFERROR(VLOOKUP(Karakterlap!$V$7,$A$24:$F$33,6,FALSE),0)</f>
        <v>11</v>
      </c>
      <c r="BF58" s="36">
        <f>VLOOKUP("k10+8",$I$2:$J$11,2,FALSE)+IFERROR(VLOOKUP(Karakterlap!$V$7,$A$24:$G$33,7,FALSE),0)</f>
        <v>14</v>
      </c>
      <c r="BG58" s="48">
        <f>VLOOKUP("k10+10",$I$2:$J$11,2,FALSE)+IFERROR(VLOOKUP(Karakterlap!$V$7,$A$24:$H$33,8,FALSE),0)</f>
        <v>16</v>
      </c>
      <c r="BH58" s="36">
        <f>VLOOKUP("k10+8",$I$2:$J$11,2,FALSE)+IFERROR(VLOOKUP(Karakterlap!$V$7,$A$24:$I$33,9,FALSE),0)</f>
        <v>14</v>
      </c>
      <c r="BI58" s="36">
        <f t="shared" si="2"/>
        <v>14</v>
      </c>
      <c r="BJ58" s="36">
        <f>VLOOKUP("k6+12",$I$2:$J$11,2,FALSE)+IFERROR(VLOOKUP(Karakterlap!$V$7,$A$24:$J$33,10,FALSE),0)</f>
        <v>16</v>
      </c>
      <c r="BK58" s="36">
        <f t="shared" si="3"/>
        <v>14</v>
      </c>
      <c r="BL58" s="36">
        <f>IF((SUM(Karakterlap!$F$3:$F$12)-SUM(BB58:BK58))&lt;0,0,SUM(Karakterlap!$F$3:$F$12)-SUM(BB58:BK58))</f>
        <v>0</v>
      </c>
      <c r="BM58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58&gt;18,BI58,18))&gt;0,Karakterlap!$F$10-IF(BI58&gt;18,BI58,18),0),0)+IF(Karakterlap!$F$11&gt;(18+IFERROR(VLOOKUP(Karakterlap!$V$7,$A$24:$J$33,10,FALSE),0)),(Karakterlap!$F$11-(18+IFERROR(VLOOKUP(Karakterlap!$V$7,$A$24:$J$33,10,FALSE),0))),0)+IF(Karakterlap!$F$12&gt;18,IF((Karakterlap!$F$12-IF(BK58&gt;18,BK58,18))&gt;0,Karakterlap!$F$12-IF(BK58&gt;18,BK58,18),0),0)</f>
        <v>#VALUE!</v>
      </c>
      <c r="BU58" t="s">
        <v>977</v>
      </c>
      <c r="BV58" t="s">
        <v>977</v>
      </c>
      <c r="BW58" s="5"/>
      <c r="BX58" s="97" t="s">
        <v>189</v>
      </c>
      <c r="BY58" s="97" t="s">
        <v>189</v>
      </c>
      <c r="BZ58" s="97" t="s">
        <v>187</v>
      </c>
      <c r="CA58" s="97" t="s">
        <v>187</v>
      </c>
      <c r="CB58" s="97" t="s">
        <v>190</v>
      </c>
      <c r="CC58" s="97" t="s">
        <v>193</v>
      </c>
      <c r="CD58" s="97" t="s">
        <v>190</v>
      </c>
      <c r="CE58" s="97" t="s">
        <v>190</v>
      </c>
      <c r="CF58" s="97" t="s">
        <v>192</v>
      </c>
      <c r="CG58" s="97" t="s">
        <v>190</v>
      </c>
    </row>
    <row r="59" spans="1:85" x14ac:dyDescent="0.2">
      <c r="A59" t="s">
        <v>883</v>
      </c>
      <c r="L59" t="s">
        <v>864</v>
      </c>
      <c r="M59" s="9">
        <v>0</v>
      </c>
      <c r="N59" s="9">
        <v>161</v>
      </c>
      <c r="O59" s="9">
        <v>331</v>
      </c>
      <c r="P59" s="9">
        <v>661</v>
      </c>
      <c r="Q59" s="9">
        <v>1301</v>
      </c>
      <c r="R59" s="9">
        <v>2601</v>
      </c>
      <c r="S59" s="9">
        <v>5001</v>
      </c>
      <c r="T59" s="9">
        <v>9001</v>
      </c>
      <c r="U59" s="9">
        <v>23001</v>
      </c>
      <c r="V59" s="9">
        <v>50001</v>
      </c>
      <c r="W59" s="9">
        <v>90001</v>
      </c>
      <c r="X59" s="9">
        <v>130001</v>
      </c>
      <c r="Y59">
        <f>IFERROR(IF(VLOOKUP(L59,Karakterlap!$P$3:$Z$4,10,FALSE)&gt;13,165001+((VLOOKUP(L59,Karakterlap!$P$3:$Z$4,10,FALSE)-13)*50000),165001),165001)</f>
        <v>165001</v>
      </c>
      <c r="Z59" s="9">
        <v>5</v>
      </c>
      <c r="AA59" s="9">
        <v>17</v>
      </c>
      <c r="AB59" s="9">
        <v>72</v>
      </c>
      <c r="AC59" s="9">
        <v>0</v>
      </c>
      <c r="AD59" s="9">
        <f>IFERROR(VLOOKUP(L59,Karakterlap!$P$3:$Z$4,10,FALSE)*8,8)</f>
        <v>8</v>
      </c>
      <c r="AE59" s="9">
        <f>IFERROR(IF(Karakterlap!$P$5="Váltott kaszt",IF(Karakterlap!$P$3=Adattábla!$L59,Karakterlap!$Y$3*3,IF(Karakterlap!$P$4=Adattábla!$L59,(Karakterlap!$Y$4-Adattábla!$I$20)*3,3)),VLOOKUP(Adattábla!$L59,Karakterlap!$P$3:$Z$4,10,FALSE)*3),3)</f>
        <v>3</v>
      </c>
      <c r="AF59" s="9">
        <f>IFERROR(IF(Karakterlap!$P$5="Váltott kaszt",IF(Karakterlap!$P$3=Adattábla!$L59,Karakterlap!$Y$3*3,IF(Karakterlap!$P$4=Adattábla!$L59,(Karakterlap!$Y$4-Adattábla!$I$20)*3,3)),VLOOKUP(Adattábla!$L59,Karakterlap!$P$3:$Z$4,10,FALSE)*3),3)</f>
        <v>3</v>
      </c>
      <c r="AG59" s="9">
        <v>6</v>
      </c>
      <c r="AH59" s="9">
        <f>IF(Karakterlap!$P$5="Iker kaszt",IF(Karakterlap!$P$3=L59,IFERROR((Karakterlap!$P$6*10)+(VLOOKUP(L59,Karakterlap!$P$3:$Z$4,10,FALSE)-Karakterlap!$P$6),10),IF(Karakterlap!$P$4=L59,VLOOKUP(L59,Karakterlap!$P$3:$Z$4,10,FALSE),10)),IF(Karakterlap!$P$5="Váltott kaszt",IF(L59=Karakterlap!$P$3,(Karakterlap!$Y$3+3)*10,VLOOKUP(L59,Karakterlap!$P$3:$Z$4,10,FALSE)*10),IFERROR(VLOOKUP(L59,Karakterlap!$P$3:$Z$4,10,FALSE)*10,10)))</f>
        <v>10</v>
      </c>
      <c r="AI59" s="9">
        <v>0</v>
      </c>
      <c r="AJ59" s="9">
        <v>6</v>
      </c>
      <c r="AK59" s="9">
        <v>6</v>
      </c>
      <c r="AL59" s="9">
        <f>IFERROR(VLOOKUP(L59,Karakterlap!$P$3:$Z$4,10,FALSE)*($E$18+2),$E$18+2)</f>
        <v>8</v>
      </c>
      <c r="AM59" s="9">
        <f>IFERROR(IF(VLOOKUP(L59,Karakterlap!$P$3:$Z$4,10,FALSE)&gt;1,9+((VLOOKUP(L59,Karakterlap!$P$3:$Z$4,10,FALSE)-1)*((ROUND($E$18/2,0))+6)),9),9)</f>
        <v>9</v>
      </c>
      <c r="AN59" t="s">
        <v>92</v>
      </c>
      <c r="AO59" t="str">
        <f>IFERROR((IF(Karakterlap!$F$9&gt;10,Karakterlap!$F$9-10,0))+5+((VLOOKUP(L59,Karakterlap!$P$3:$Z$4,10,FALSE)-1)*4),"más kaszt")</f>
        <v>más kaszt</v>
      </c>
      <c r="BA59">
        <f>IFERROR(IF(Karakterlap!$P$6&gt;13,165001+((Karakterlap!$P$6-13)*50000),165001),165001)</f>
        <v>165001</v>
      </c>
      <c r="BB59" s="36">
        <f>VLOOKUP("2k6+6",$I$2:$J$11,2,FALSE)+IFERROR(VLOOKUP(Karakterlap!$V$7,$A$24:$C$33,3,FALSE),0)</f>
        <v>13</v>
      </c>
      <c r="BC59" s="36">
        <f>VLOOKUP("2k6+6",$I$2:$J$11,2,FALSE)+IFERROR(VLOOKUP(Karakterlap!$V$7,$A$24:$D$33,4,FALSE),0)</f>
        <v>13</v>
      </c>
      <c r="BD59" s="36">
        <f>VLOOKUP("3k6(2x)",$I$2:$J$11,2,FALSE)+IFERROR(VLOOKUP(Karakterlap!$V$7,$A$24:$E$33,5,FALSE),0)</f>
        <v>11</v>
      </c>
      <c r="BE59" s="36">
        <f>VLOOKUP("3k6(2x)",$I$2:$J$11,2,FALSE)+IFERROR(VLOOKUP(Karakterlap!$V$7,$A$24:$F$33,6,FALSE),0)</f>
        <v>11</v>
      </c>
      <c r="BF59" s="36">
        <f>VLOOKUP("k10+8",$I$2:$J$11,2,FALSE)+IFERROR(VLOOKUP(Karakterlap!$V$7,$A$24:$G$33,7,FALSE),0)</f>
        <v>14</v>
      </c>
      <c r="BG59" s="48">
        <f>VLOOKUP("k10+10",$I$2:$J$11,2,FALSE)+IFERROR(VLOOKUP(Karakterlap!$V$7,$A$24:$H$33,8,FALSE),0)</f>
        <v>16</v>
      </c>
      <c r="BH59" s="36">
        <f>VLOOKUP("k10+8",$I$2:$J$11,2,FALSE)+IFERROR(VLOOKUP(Karakterlap!$V$7,$A$24:$I$33,9,FALSE),0)</f>
        <v>14</v>
      </c>
      <c r="BI59" s="36">
        <f t="shared" si="2"/>
        <v>14</v>
      </c>
      <c r="BJ59" s="36">
        <f>VLOOKUP("k6+12",$I$2:$J$11,2,FALSE)+IFERROR(VLOOKUP(Karakterlap!$V$7,$A$24:$J$33,10,FALSE),0)</f>
        <v>16</v>
      </c>
      <c r="BK59" s="36">
        <f t="shared" si="3"/>
        <v>14</v>
      </c>
      <c r="BL59" s="36">
        <f>IF((SUM(Karakterlap!$F$3:$F$12)-SUM(BB59:BK59))&lt;0,0,SUM(Karakterlap!$F$3:$F$12)-SUM(BB59:BK59))</f>
        <v>0</v>
      </c>
      <c r="BM59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59&gt;18,BI59,18))&gt;0,Karakterlap!$F$10-IF(BI59&gt;18,BI59,18),0),0)+IF(Karakterlap!$F$11&gt;(18+IFERROR(VLOOKUP(Karakterlap!$V$7,$A$24:$J$33,10,FALSE),0)),(Karakterlap!$F$11-(18+IFERROR(VLOOKUP(Karakterlap!$V$7,$A$24:$J$33,10,FALSE),0))),0)+IF(Karakterlap!$F$12&gt;18,IF((Karakterlap!$F$12-IF(BK59&gt;18,BK59,18))&gt;0,Karakterlap!$F$12-IF(BK59&gt;18,BK59,18),0),0)</f>
        <v>#VALUE!</v>
      </c>
      <c r="BU59" t="s">
        <v>977</v>
      </c>
      <c r="BV59" t="s">
        <v>977</v>
      </c>
      <c r="BW59" s="5"/>
      <c r="BX59" s="97" t="s">
        <v>189</v>
      </c>
      <c r="BY59" s="97" t="s">
        <v>189</v>
      </c>
      <c r="BZ59" s="97" t="s">
        <v>187</v>
      </c>
      <c r="CA59" s="97" t="s">
        <v>187</v>
      </c>
      <c r="CB59" s="97" t="s">
        <v>190</v>
      </c>
      <c r="CC59" s="97" t="s">
        <v>193</v>
      </c>
      <c r="CD59" s="97" t="s">
        <v>190</v>
      </c>
      <c r="CE59" s="97" t="s">
        <v>190</v>
      </c>
      <c r="CF59" s="97" t="s">
        <v>192</v>
      </c>
      <c r="CG59" s="97" t="s">
        <v>190</v>
      </c>
    </row>
    <row r="60" spans="1:85" x14ac:dyDescent="0.2">
      <c r="A60" t="s">
        <v>857</v>
      </c>
      <c r="L60" t="s">
        <v>801</v>
      </c>
      <c r="M60" s="9">
        <v>0</v>
      </c>
      <c r="N60" s="9">
        <v>100</v>
      </c>
      <c r="O60" s="9">
        <v>200</v>
      </c>
      <c r="P60" s="9">
        <v>400</v>
      </c>
      <c r="Q60" s="9">
        <v>800</v>
      </c>
      <c r="R60" s="9">
        <v>1600</v>
      </c>
      <c r="S60" s="9">
        <v>3200</v>
      </c>
      <c r="T60" s="9">
        <v>6400</v>
      </c>
      <c r="U60" s="9">
        <v>12800</v>
      </c>
      <c r="V60" s="9">
        <v>24800</v>
      </c>
      <c r="W60" s="9">
        <v>36800</v>
      </c>
      <c r="X60" s="9">
        <v>48800</v>
      </c>
      <c r="Y60">
        <f>IFERROR(IF(VLOOKUP(L60,Karakterlap!$P$3:$Z$4,10,FALSE)&gt;13,60800+((VLOOKUP(L60,Karakterlap!$P$3:$Z$4,10,FALSE)-13)*12000),60800),60800)</f>
        <v>60800</v>
      </c>
      <c r="Z60" s="9">
        <v>2</v>
      </c>
      <c r="AA60" s="9">
        <v>13</v>
      </c>
      <c r="AB60" s="9">
        <v>69</v>
      </c>
      <c r="AC60" s="9">
        <v>0</v>
      </c>
      <c r="AD60" s="9">
        <f>IFERROR(VLOOKUP(L60,Karakterlap!$P$3:$Z$4,10,FALSE)*4,4)</f>
        <v>4</v>
      </c>
      <c r="AE60" s="9">
        <v>0</v>
      </c>
      <c r="AF60" s="9">
        <f>IFERROR(IF(Karakterlap!$P$5="Váltott kaszt",IF(Karakterlap!$P$3=Adattábla!$L60,Karakterlap!$Y$3*2,IF(Karakterlap!$P$4=Adattábla!$L60,(Karakterlap!$Y$4-Adattábla!$I$20)*2,2)),VLOOKUP(Adattábla!$L60,Karakterlap!$P$3:$Z$4,10,FALSE)*2),2)</f>
        <v>2</v>
      </c>
      <c r="AG60" s="9">
        <v>12</v>
      </c>
      <c r="AH60" s="9">
        <f>IF(Karakterlap!$P$5="Iker kaszt",IF(Karakterlap!$P$3=L60,IFERROR((Karakterlap!$P$6*10)+(VLOOKUP(L60,Karakterlap!$P$3:$Z$4,10,FALSE)-Karakterlap!$P$6),10),IF(Karakterlap!$P$4=L60,VLOOKUP(L60,Karakterlap!$P$3:$Z$4,10,FALSE),10)),IF(Karakterlap!$P$5="Váltott kaszt",IF(L60=Karakterlap!$P$3,(Karakterlap!$Y$3+3)*10,VLOOKUP(L60,Karakterlap!$P$3:$Z$4,10,FALSE)*10),IFERROR(VLOOKUP(L60,Karakterlap!$P$3:$Z$4,10,FALSE)*10,10)))</f>
        <v>10</v>
      </c>
      <c r="AI60" s="9">
        <v>0</v>
      </c>
      <c r="AJ60" s="9">
        <v>6</v>
      </c>
      <c r="AK60" s="9">
        <v>6</v>
      </c>
      <c r="AL60" s="9">
        <f>IFERROR(VLOOKUP(L60,Karakterlap!$P$3:$Z$4,10,FALSE)*(11),11)</f>
        <v>11</v>
      </c>
      <c r="AM60" s="9">
        <f>IFERROR(IF(VLOOKUP(L60,Karakterlap!$P$3:$Z$4,10,FALSE)&gt;1,9+((VLOOKUP(L60,Karakterlap!$P$3:$Z$4,10,FALSE)-1)*((ROUND($E$18/2,0))+6)),9),9)</f>
        <v>9</v>
      </c>
      <c r="AN60" t="s">
        <v>92</v>
      </c>
      <c r="AO60" t="str">
        <f>IFERROR((IF(Karakterlap!$F$9&gt;10,Karakterlap!$F$9-10,0))+5+((VLOOKUP(L60,Karakterlap!$P$3:$Z$4,10,FALSE)-1)*4),"más kaszt")</f>
        <v>más kaszt</v>
      </c>
      <c r="BA60">
        <f>IFERROR(IF(Karakterlap!$P$6&gt;13,60800+((Karakterlap!$P$6-13)*12000),60800),60800)</f>
        <v>60800</v>
      </c>
      <c r="BB60" s="36">
        <f>VLOOKUP("2k6+6",$I$2:$J$11,2,FALSE)+IFERROR(VLOOKUP(Karakterlap!$V$7,$A$24:$C$33,3,FALSE),0)</f>
        <v>13</v>
      </c>
      <c r="BC60" s="36">
        <f>VLOOKUP("2k6+6",$I$2:$J$11,2,FALSE)+IFERROR(VLOOKUP(Karakterlap!$V$7,$A$24:$D$33,4,FALSE),0)</f>
        <v>13</v>
      </c>
      <c r="BD60" s="36">
        <f>VLOOKUP("3k6(2x)",$I$2:$J$11,2,FALSE)+IFERROR(VLOOKUP(Karakterlap!$V$7,$A$24:$E$33,5,FALSE),0)</f>
        <v>11</v>
      </c>
      <c r="BE60" s="36">
        <f>VLOOKUP("3k6(2x)",$I$2:$J$11,2,FALSE)+IFERROR(VLOOKUP(Karakterlap!$V$7,$A$24:$F$33,6,FALSE),0)</f>
        <v>11</v>
      </c>
      <c r="BF60" s="36">
        <f>VLOOKUP("k10+8",$I$2:$J$11,2,FALSE)+IFERROR(VLOOKUP(Karakterlap!$V$7,$A$24:$G$33,7,FALSE),0)</f>
        <v>14</v>
      </c>
      <c r="BG60" s="48">
        <f>VLOOKUP("k10+10",$I$2:$J$11,2,FALSE)+IFERROR(VLOOKUP(Karakterlap!$V$7,$A$24:$H$33,8,FALSE),0)</f>
        <v>16</v>
      </c>
      <c r="BH60" s="36">
        <f>VLOOKUP("k10+8",$I$2:$J$11,2,FALSE)+IFERROR(VLOOKUP(Karakterlap!$V$7,$A$24:$I$33,9,FALSE),0)</f>
        <v>14</v>
      </c>
      <c r="BI60" s="36">
        <f t="shared" si="2"/>
        <v>14</v>
      </c>
      <c r="BJ60" s="36">
        <f>VLOOKUP("k6+12",$I$2:$J$11,2,FALSE)+IFERROR(VLOOKUP(Karakterlap!$V$7,$A$24:$J$33,10,FALSE),0)</f>
        <v>16</v>
      </c>
      <c r="BK60" s="36">
        <f t="shared" si="3"/>
        <v>14</v>
      </c>
      <c r="BL60" s="36">
        <f>IF((SUM(Karakterlap!$F$3:$F$12)-SUM(BB60:BK60))&lt;0,0,SUM(Karakterlap!$F$3:$F$12)-SUM(BB60:BK60))</f>
        <v>0</v>
      </c>
      <c r="BM60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60&gt;18,BI60,18))&gt;0,Karakterlap!$F$10-IF(BI60&gt;18,BI60,18),0),0)+IF(Karakterlap!$F$11&gt;(18+IFERROR(VLOOKUP(Karakterlap!$V$7,$A$24:$J$33,10,FALSE),0)),(Karakterlap!$F$11-(18+IFERROR(VLOOKUP(Karakterlap!$V$7,$A$24:$J$33,10,FALSE),0))),0)+IF(Karakterlap!$F$12&gt;18,IF((Karakterlap!$F$12-IF(BK60&gt;18,BK60,18))&gt;0,Karakterlap!$F$12-IF(BK60&gt;18,BK60,18),0),0)</f>
        <v>#VALUE!</v>
      </c>
      <c r="BU60" t="s">
        <v>977</v>
      </c>
      <c r="BV60" t="s">
        <v>977</v>
      </c>
      <c r="BW60" s="5"/>
      <c r="BX60" s="97" t="s">
        <v>189</v>
      </c>
      <c r="BY60" s="97" t="s">
        <v>189</v>
      </c>
      <c r="BZ60" s="97" t="s">
        <v>187</v>
      </c>
      <c r="CA60" s="97" t="s">
        <v>187</v>
      </c>
      <c r="CB60" s="97" t="s">
        <v>190</v>
      </c>
      <c r="CC60" s="97" t="s">
        <v>193</v>
      </c>
      <c r="CD60" s="97" t="s">
        <v>190</v>
      </c>
      <c r="CE60" s="97" t="s">
        <v>190</v>
      </c>
      <c r="CF60" s="97" t="s">
        <v>192</v>
      </c>
      <c r="CG60" s="97" t="s">
        <v>190</v>
      </c>
    </row>
    <row r="61" spans="1:85" x14ac:dyDescent="0.2">
      <c r="L61" t="s">
        <v>806</v>
      </c>
      <c r="M61" s="9">
        <v>0</v>
      </c>
      <c r="N61" s="9">
        <v>161</v>
      </c>
      <c r="O61" s="9">
        <v>331</v>
      </c>
      <c r="P61" s="9">
        <v>661</v>
      </c>
      <c r="Q61" s="9">
        <v>1301</v>
      </c>
      <c r="R61" s="9">
        <v>2601</v>
      </c>
      <c r="S61" s="9">
        <v>5001</v>
      </c>
      <c r="T61" s="9">
        <v>9001</v>
      </c>
      <c r="U61" s="9">
        <v>23001</v>
      </c>
      <c r="V61" s="9">
        <v>50001</v>
      </c>
      <c r="W61" s="9">
        <v>90001</v>
      </c>
      <c r="X61" s="9">
        <v>130001</v>
      </c>
      <c r="Y61">
        <f>IFERROR(IF(VLOOKUP(L61,Karakterlap!$P$3:$Z$4,10,FALSE)&gt;13,165001+((VLOOKUP(L61,Karakterlap!$P$3:$Z$4,10,FALSE)-13)*50000),165001),165001)</f>
        <v>165001</v>
      </c>
      <c r="Z61" s="9">
        <v>5</v>
      </c>
      <c r="AA61" s="9">
        <v>17</v>
      </c>
      <c r="AB61" s="9">
        <v>72</v>
      </c>
      <c r="AC61" s="9">
        <v>0</v>
      </c>
      <c r="AD61" s="9">
        <f>IFERROR(VLOOKUP(L61,Karakterlap!$P$3:$Z$4,10,FALSE)*8,8)</f>
        <v>8</v>
      </c>
      <c r="AE61" s="9">
        <f>IFERROR(IF(Karakterlap!$P$5="Váltott kaszt",IF(Karakterlap!$P$3=Adattábla!$L61,Karakterlap!$Y$3*3,IF(Karakterlap!$P$4=Adattábla!$L61,(Karakterlap!$Y$4-Adattábla!$I$20)*3,3)),VLOOKUP(Adattábla!$L61,Karakterlap!$P$3:$Z$4,10,FALSE)*3),3)</f>
        <v>3</v>
      </c>
      <c r="AF61" s="9">
        <f>IFERROR(IF(Karakterlap!$P$5="Váltott kaszt",IF(Karakterlap!$P$3=Adattábla!$L61,Karakterlap!$Y$3*3,IF(Karakterlap!$P$4=Adattábla!$L61,(Karakterlap!$Y$4-Adattábla!$I$20)*3,3)),VLOOKUP(Adattábla!$L61,Karakterlap!$P$3:$Z$4,10,FALSE)*3),3)</f>
        <v>3</v>
      </c>
      <c r="AG61" s="9">
        <v>3</v>
      </c>
      <c r="AH61" s="9">
        <f>IF(Karakterlap!$P$5="Iker kaszt",IF(Karakterlap!$P$3=L61,IFERROR((Karakterlap!$P$6*7)+(VLOOKUP(L61,Karakterlap!$P$3:$Z$4,10,FALSE)-Karakterlap!$P$6),7),IF(Karakterlap!$P$4=L61,VLOOKUP(L61,Karakterlap!$P$3:$Z$4,10,FALSE),7)),IF(Karakterlap!$P$5="Váltott kaszt",IF(L61=Karakterlap!$P$3,(Karakterlap!$Y$3+3)*7,VLOOKUP(L61,Karakterlap!$P$3:$Z$4,10,FALSE)*7),IFERROR(VLOOKUP(L61,Karakterlap!$P$3:$Z$4,10,FALSE)*7,7)))</f>
        <v>7</v>
      </c>
      <c r="AI61" s="9">
        <v>0</v>
      </c>
      <c r="AJ61" s="9">
        <v>6</v>
      </c>
      <c r="AK61" s="9">
        <v>6</v>
      </c>
      <c r="AL61" s="9">
        <f>IFERROR(VLOOKUP(L61,Karakterlap!$P$3:$Z$4,10,FALSE)*($E$18+2),$E$18+2)</f>
        <v>8</v>
      </c>
      <c r="AM61" s="9">
        <f>IFERROR(IF(VLOOKUP(L61,Karakterlap!$P$3:$Z$4,10,FALSE)&gt;1,9+((VLOOKUP(L61,Karakterlap!$P$3:$Z$4,10,FALSE)-1)*((ROUND($E$18/2,0))+6)),9),9)</f>
        <v>9</v>
      </c>
      <c r="AN61" t="s">
        <v>92</v>
      </c>
      <c r="AO61" t="str">
        <f>IFERROR((IF(Karakterlap!$F$9&gt;10,Karakterlap!$F$9-10,0))+5+((VLOOKUP(L61,Karakterlap!$P$3:$Z$4,10,FALSE)-1)*4),"más kaszt")</f>
        <v>más kaszt</v>
      </c>
      <c r="BA61">
        <f>IFERROR(IF(Karakterlap!$P$6&gt;13,165001+((Karakterlap!$P$6-13)*50000),165001),165001)</f>
        <v>165001</v>
      </c>
      <c r="BB61" s="36">
        <f>VLOOKUP("2k6+6",$I$2:$J$11,2,FALSE)+IFERROR(VLOOKUP(Karakterlap!$V$7,$A$24:$C$33,3,FALSE),0)</f>
        <v>13</v>
      </c>
      <c r="BC61" s="36">
        <f>VLOOKUP("2k6+6",$I$2:$J$11,2,FALSE)+IFERROR(VLOOKUP(Karakterlap!$V$7,$A$24:$D$33,4,FALSE),0)</f>
        <v>13</v>
      </c>
      <c r="BD61" s="36">
        <f>VLOOKUP("3k6(2x)",$I$2:$J$11,2,FALSE)+IFERROR(VLOOKUP(Karakterlap!$V$7,$A$24:$E$33,5,FALSE),0)</f>
        <v>11</v>
      </c>
      <c r="BE61" s="36">
        <f>VLOOKUP("3k6(2x)",$I$2:$J$11,2,FALSE)+IFERROR(VLOOKUP(Karakterlap!$V$7,$A$24:$F$33,6,FALSE),0)</f>
        <v>11</v>
      </c>
      <c r="BF61" s="36">
        <f>VLOOKUP("k10+8",$I$2:$J$11,2,FALSE)+IFERROR(VLOOKUP(Karakterlap!$V$7,$A$24:$G$33,7,FALSE),0)</f>
        <v>14</v>
      </c>
      <c r="BG61" s="48">
        <f>VLOOKUP("k6+14",$I$2:$J$11,2,FALSE)+IFERROR(VLOOKUP(Karakterlap!$V$7,$A$24:$H$33,8,FALSE),0)</f>
        <v>18</v>
      </c>
      <c r="BH61" s="36">
        <f>VLOOKUP("k10+8",$I$2:$J$11,2,FALSE)+IFERROR(VLOOKUP(Karakterlap!$V$7,$A$24:$I$33,9,FALSE),0)</f>
        <v>14</v>
      </c>
      <c r="BI61" s="36">
        <f t="shared" si="2"/>
        <v>14</v>
      </c>
      <c r="BJ61" s="36">
        <f>VLOOKUP("k6+12",$I$2:$J$11,2,FALSE)+IFERROR(VLOOKUP(Karakterlap!$V$7,$A$24:$J$33,10,FALSE),0)</f>
        <v>16</v>
      </c>
      <c r="BK61" s="36">
        <f t="shared" si="3"/>
        <v>14</v>
      </c>
      <c r="BL61" s="36">
        <f>IF((SUM(Karakterlap!$F$3:$F$12)-SUM(BB61:BK61))&lt;0,0,SUM(Karakterlap!$F$3:$F$12)-SUM(BB61:BK61))</f>
        <v>0</v>
      </c>
      <c r="BM61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61&gt;18,BI61,18))&gt;0,Karakterlap!$F$10-IF(BI61&gt;18,BI61,18),0),0)+IF(Karakterlap!$F$11&gt;(18+IFERROR(VLOOKUP(Karakterlap!$V$7,$A$24:$J$33,10,FALSE),0)),(Karakterlap!$F$11-(18+IFERROR(VLOOKUP(Karakterlap!$V$7,$A$24:$J$33,10,FALSE),0))),0)+IF(Karakterlap!$F$12&gt;18,IF((Karakterlap!$F$12-IF(BK61&gt;18,BK61,18))&gt;0,Karakterlap!$F$12-IF(BK61&gt;18,BK61,18),0),0)</f>
        <v>#VALUE!</v>
      </c>
      <c r="BU61" t="s">
        <v>977</v>
      </c>
      <c r="BV61" t="s">
        <v>977</v>
      </c>
      <c r="BW61" s="5"/>
      <c r="BX61" s="97" t="s">
        <v>189</v>
      </c>
      <c r="BY61" s="97" t="s">
        <v>189</v>
      </c>
      <c r="BZ61" s="97" t="s">
        <v>187</v>
      </c>
      <c r="CA61" s="97" t="s">
        <v>187</v>
      </c>
      <c r="CB61" s="97" t="s">
        <v>190</v>
      </c>
      <c r="CC61" s="97" t="s">
        <v>194</v>
      </c>
      <c r="CD61" s="97" t="s">
        <v>190</v>
      </c>
      <c r="CE61" s="97" t="s">
        <v>190</v>
      </c>
      <c r="CF61" s="97" t="s">
        <v>192</v>
      </c>
      <c r="CG61" s="97" t="s">
        <v>190</v>
      </c>
    </row>
    <row r="62" spans="1:85" x14ac:dyDescent="0.2">
      <c r="A62" s="82" t="s">
        <v>860</v>
      </c>
      <c r="B62" s="82"/>
      <c r="L62" t="s">
        <v>811</v>
      </c>
      <c r="M62" s="9">
        <v>0</v>
      </c>
      <c r="N62" s="9">
        <v>161</v>
      </c>
      <c r="O62" s="9">
        <v>331</v>
      </c>
      <c r="P62" s="9">
        <v>661</v>
      </c>
      <c r="Q62" s="9">
        <v>1301</v>
      </c>
      <c r="R62" s="9">
        <v>2601</v>
      </c>
      <c r="S62" s="9">
        <v>5001</v>
      </c>
      <c r="T62" s="9">
        <v>9001</v>
      </c>
      <c r="U62" s="9">
        <v>23001</v>
      </c>
      <c r="V62" s="9">
        <v>50001</v>
      </c>
      <c r="W62" s="9">
        <v>90001</v>
      </c>
      <c r="X62" s="9">
        <v>130001</v>
      </c>
      <c r="Y62">
        <f>IFERROR(IF(VLOOKUP(L62,Karakterlap!$P$3:$Z$4,10,FALSE)&gt;13,165001+((VLOOKUP(L62,Karakterlap!$P$3:$Z$4,10,FALSE)-13)*50000),165001),165001)</f>
        <v>165001</v>
      </c>
      <c r="Z62" s="9">
        <v>5</v>
      </c>
      <c r="AA62" s="9">
        <v>17</v>
      </c>
      <c r="AB62" s="9">
        <v>72</v>
      </c>
      <c r="AC62" s="9">
        <v>0</v>
      </c>
      <c r="AD62" s="9">
        <f>IFERROR(VLOOKUP(L62,Karakterlap!$P$3:$Z$4,10,FALSE)*8,8)</f>
        <v>8</v>
      </c>
      <c r="AE62" s="9">
        <f>IFERROR(IF(Karakterlap!$P$5="Váltott kaszt",IF(Karakterlap!$P$3=Adattábla!$L62,Karakterlap!$Y$3*3,IF(Karakterlap!$P$4=Adattábla!$L62,(Karakterlap!$Y$4-Adattábla!$I$20)*3,3)),VLOOKUP(Adattábla!$L62,Karakterlap!$P$3:$Z$4,10,FALSE)*3),3)</f>
        <v>3</v>
      </c>
      <c r="AF62" s="9">
        <f>IFERROR(IF(Karakterlap!$P$5="Váltott kaszt",IF(Karakterlap!$P$3=Adattábla!$L62,Karakterlap!$Y$3*3,IF(Karakterlap!$P$4=Adattábla!$L62,(Karakterlap!$Y$4-Adattábla!$I$20)*3,3)),VLOOKUP(Adattábla!$L62,Karakterlap!$P$3:$Z$4,10,FALSE)*3),3)</f>
        <v>3</v>
      </c>
      <c r="AG62" s="9">
        <v>6</v>
      </c>
      <c r="AH62" s="9">
        <f>IF(Karakterlap!$P$5="Iker kaszt",IF(Karakterlap!$P$3=L62,IFERROR((Karakterlap!$P$6*10)+(VLOOKUP(L62,Karakterlap!$P$3:$Z$4,10,FALSE)-Karakterlap!$P$6),10),IF(Karakterlap!$P$4=L62,VLOOKUP(L62,Karakterlap!$P$3:$Z$4,10,FALSE),10)),IF(Karakterlap!$P$5="Váltott kaszt",IF(L62=Karakterlap!$P$3,(Karakterlap!$Y$3+3)*10,VLOOKUP(L62,Karakterlap!$P$3:$Z$4,10,FALSE)*10),IFERROR(VLOOKUP(L62,Karakterlap!$P$3:$Z$4,10,FALSE)*10,10)))</f>
        <v>10</v>
      </c>
      <c r="AI62" s="9">
        <v>0</v>
      </c>
      <c r="AJ62" s="9">
        <v>6</v>
      </c>
      <c r="AK62" s="9">
        <v>6</v>
      </c>
      <c r="AL62" s="9">
        <f>IFERROR(VLOOKUP(L62,Karakterlap!$P$3:$Z$4,10,FALSE)*($E$18+2),$E$18+2)</f>
        <v>8</v>
      </c>
      <c r="AM62" s="9">
        <f>IFERROR(IF(VLOOKUP(L62,Karakterlap!$P$3:$Z$4,10,FALSE)&gt;1,9+((VLOOKUP(L62,Karakterlap!$P$3:$Z$4,10,FALSE)-1)*((ROUND($E$18/2,0))+6)),9),9)</f>
        <v>9</v>
      </c>
      <c r="AN62" t="s">
        <v>92</v>
      </c>
      <c r="AO62" t="str">
        <f>IFERROR((IF(Karakterlap!$F$9&gt;10,Karakterlap!$F$9-10,0))+5+((VLOOKUP(L62,Karakterlap!$P$3:$Z$4,10,FALSE)-1)*4),"más kaszt")</f>
        <v>más kaszt</v>
      </c>
      <c r="BA62">
        <f>IFERROR(IF(Karakterlap!$P$6&gt;13,165001+((Karakterlap!$P$6-13)*50000),165001),165001)</f>
        <v>165001</v>
      </c>
      <c r="BB62" s="36">
        <f>VLOOKUP("2k6+6",$I$2:$J$11,2,FALSE)+IFERROR(VLOOKUP(Karakterlap!$V$7,$A$24:$C$33,3,FALSE),0)</f>
        <v>13</v>
      </c>
      <c r="BC62" s="36">
        <f>VLOOKUP("2k6+6",$I$2:$J$11,2,FALSE)+IFERROR(VLOOKUP(Karakterlap!$V$7,$A$24:$D$33,4,FALSE),0)</f>
        <v>13</v>
      </c>
      <c r="BD62" s="36">
        <f>VLOOKUP("3k6(2x)",$I$2:$J$11,2,FALSE)+IFERROR(VLOOKUP(Karakterlap!$V$7,$A$24:$E$33,5,FALSE),0)</f>
        <v>11</v>
      </c>
      <c r="BE62" s="36">
        <f>VLOOKUP("3k6(2x)",$I$2:$J$11,2,FALSE)+IFERROR(VLOOKUP(Karakterlap!$V$7,$A$24:$F$33,6,FALSE),0)</f>
        <v>11</v>
      </c>
      <c r="BF62" s="36">
        <f>VLOOKUP("k10+8",$I$2:$J$11,2,FALSE)+IFERROR(VLOOKUP(Karakterlap!$V$7,$A$24:$G$33,7,FALSE),0)</f>
        <v>14</v>
      </c>
      <c r="BG62" s="48">
        <f>VLOOKUP("k10+10",$I$2:$J$11,2,FALSE)+IFERROR(VLOOKUP(Karakterlap!$V$7,$A$24:$H$33,8,FALSE),0)</f>
        <v>16</v>
      </c>
      <c r="BH62" s="36">
        <f>VLOOKUP("k10+8",$I$2:$J$11,2,FALSE)+IFERROR(VLOOKUP(Karakterlap!$V$7,$A$24:$I$33,9,FALSE),0)</f>
        <v>14</v>
      </c>
      <c r="BI62" s="36">
        <f t="shared" si="2"/>
        <v>14</v>
      </c>
      <c r="BJ62" s="36">
        <f>VLOOKUP("k6+12",$I$2:$J$11,2,FALSE)+IFERROR(VLOOKUP(Karakterlap!$V$7,$A$24:$J$33,10,FALSE),0)</f>
        <v>16</v>
      </c>
      <c r="BK62" s="36">
        <f t="shared" si="3"/>
        <v>14</v>
      </c>
      <c r="BL62" s="36">
        <f>IF((SUM(Karakterlap!$F$3:$F$12)-SUM(BB62:BK62))&lt;0,0,SUM(Karakterlap!$F$3:$F$12)-SUM(BB62:BK62))</f>
        <v>0</v>
      </c>
      <c r="BM62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62&gt;18,BI62,18))&gt;0,Karakterlap!$F$10-IF(BI62&gt;18,BI62,18),0),0)+IF(Karakterlap!$F$11&gt;(18+IFERROR(VLOOKUP(Karakterlap!$V$7,$A$24:$J$33,10,FALSE),0)),(Karakterlap!$F$11-(18+IFERROR(VLOOKUP(Karakterlap!$V$7,$A$24:$J$33,10,FALSE),0))),0)+IF(Karakterlap!$F$12&gt;18,IF((Karakterlap!$F$12-IF(BK62&gt;18,BK62,18))&gt;0,Karakterlap!$F$12-IF(BK62&gt;18,BK62,18),0),0)</f>
        <v>#VALUE!</v>
      </c>
      <c r="BU62" t="s">
        <v>977</v>
      </c>
      <c r="BV62" t="s">
        <v>977</v>
      </c>
      <c r="BW62" s="5"/>
      <c r="BX62" s="97" t="s">
        <v>189</v>
      </c>
      <c r="BY62" s="97" t="s">
        <v>189</v>
      </c>
      <c r="BZ62" s="97" t="s">
        <v>187</v>
      </c>
      <c r="CA62" s="97" t="s">
        <v>187</v>
      </c>
      <c r="CB62" s="97" t="s">
        <v>190</v>
      </c>
      <c r="CC62" s="97" t="s">
        <v>193</v>
      </c>
      <c r="CD62" s="97" t="s">
        <v>190</v>
      </c>
      <c r="CE62" s="97" t="s">
        <v>190</v>
      </c>
      <c r="CF62" s="97" t="s">
        <v>192</v>
      </c>
      <c r="CG62" s="97" t="s">
        <v>190</v>
      </c>
    </row>
    <row r="63" spans="1:85" x14ac:dyDescent="0.2">
      <c r="A63" t="s">
        <v>884</v>
      </c>
      <c r="L63" t="s">
        <v>816</v>
      </c>
      <c r="M63" s="9">
        <v>0</v>
      </c>
      <c r="N63" s="9">
        <v>161</v>
      </c>
      <c r="O63" s="9">
        <v>331</v>
      </c>
      <c r="P63" s="9">
        <v>661</v>
      </c>
      <c r="Q63" s="9">
        <v>1301</v>
      </c>
      <c r="R63" s="9">
        <v>2601</v>
      </c>
      <c r="S63" s="9">
        <v>5001</v>
      </c>
      <c r="T63" s="9">
        <v>9001</v>
      </c>
      <c r="U63" s="9">
        <v>23001</v>
      </c>
      <c r="V63" s="9">
        <v>50001</v>
      </c>
      <c r="W63" s="9">
        <v>90001</v>
      </c>
      <c r="X63" s="9">
        <v>130001</v>
      </c>
      <c r="Y63">
        <f>IFERROR(IF(VLOOKUP(L63,Karakterlap!$P$3:$Z$4,10,FALSE)&gt;13,165001+((VLOOKUP(L63,Karakterlap!$P$3:$Z$4,10,FALSE)-13)*50000),165001),165001)</f>
        <v>165001</v>
      </c>
      <c r="Z63" s="9">
        <v>5</v>
      </c>
      <c r="AA63" s="9">
        <v>17</v>
      </c>
      <c r="AB63" s="9">
        <v>72</v>
      </c>
      <c r="AC63" s="9">
        <v>0</v>
      </c>
      <c r="AD63" s="9">
        <f>IFERROR(VLOOKUP(L63,Karakterlap!$P$3:$Z$4,10,FALSE)*8,8)</f>
        <v>8</v>
      </c>
      <c r="AE63" s="9">
        <f>IFERROR(IF(Karakterlap!$P$5="Váltott kaszt",IF(Karakterlap!$P$3=Adattábla!$L63,Karakterlap!$Y$3*3,IF(Karakterlap!$P$4=Adattábla!$L63,(Karakterlap!$Y$4-Adattábla!$I$20)*3,3)),VLOOKUP(Adattábla!$L63,Karakterlap!$P$3:$Z$4,10,FALSE)*3),3)</f>
        <v>3</v>
      </c>
      <c r="AF63" s="9">
        <f>IFERROR(IF(Karakterlap!$P$5="Váltott kaszt",IF(Karakterlap!$P$3=Adattábla!$L63,Karakterlap!$Y$3*3,IF(Karakterlap!$P$4=Adattábla!$L63,(Karakterlap!$Y$4-Adattábla!$I$20)*3,3)),VLOOKUP(Adattábla!$L63,Karakterlap!$P$3:$Z$4,10,FALSE)*3),3)</f>
        <v>3</v>
      </c>
      <c r="AG63" s="9">
        <v>6</v>
      </c>
      <c r="AH63" s="9">
        <f>IF(Karakterlap!$P$5="Iker kaszt",IF(Karakterlap!$P$3=L63,IFERROR((Karakterlap!$P$6*10)+(VLOOKUP(L63,Karakterlap!$P$3:$Z$4,10,FALSE)-Karakterlap!$P$6),10),IF(Karakterlap!$P$4=L63,VLOOKUP(L63,Karakterlap!$P$3:$Z$4,10,FALSE),10)),IF(Karakterlap!$P$5="Váltott kaszt",IF(L63=Karakterlap!$P$3,(Karakterlap!$Y$3+3)*10,VLOOKUP(L63,Karakterlap!$P$3:$Z$4,10,FALSE)*10),IFERROR(VLOOKUP(L63,Karakterlap!$P$3:$Z$4,10,FALSE)*10,10)))</f>
        <v>10</v>
      </c>
      <c r="AI63" s="9">
        <v>0</v>
      </c>
      <c r="AJ63" s="9">
        <v>6</v>
      </c>
      <c r="AK63" s="9">
        <v>6</v>
      </c>
      <c r="AL63" s="9">
        <f>IFERROR(VLOOKUP(L63,Karakterlap!$P$3:$Z$4,10,FALSE)*($E$18+2),$E$18+2)</f>
        <v>8</v>
      </c>
      <c r="AM63" s="9">
        <f>IFERROR(IF(VLOOKUP(L63,Karakterlap!$P$3:$Z$4,10,FALSE)&gt;1,9+((VLOOKUP(L63,Karakterlap!$P$3:$Z$4,10,FALSE)-1)*((ROUND($E$18/2,0))+6)),9),9)</f>
        <v>9</v>
      </c>
      <c r="AN63" t="s">
        <v>92</v>
      </c>
      <c r="AO63" t="str">
        <f>IFERROR((IF(Karakterlap!$F$9&gt;10,Karakterlap!$F$9-10,0))+5+((VLOOKUP(L63,Karakterlap!$P$3:$Z$4,10,FALSE)-1)*4),"más kaszt")</f>
        <v>más kaszt</v>
      </c>
      <c r="AY63" s="14">
        <v>35</v>
      </c>
      <c r="AZ63" s="14">
        <v>15</v>
      </c>
      <c r="BA63">
        <f>IFERROR(IF(Karakterlap!$P$6&gt;13,165001+((Karakterlap!$P$6-13)*50000),165001),165001)</f>
        <v>165001</v>
      </c>
      <c r="BB63" s="36">
        <f>VLOOKUP("2k6+6",$I$2:$J$11,2,FALSE)+IFERROR(VLOOKUP(Karakterlap!$V$7,$A$24:$C$33,3,FALSE),0)</f>
        <v>13</v>
      </c>
      <c r="BC63" s="36">
        <f>VLOOKUP("2k6+6",$I$2:$J$11,2,FALSE)+IFERROR(VLOOKUP(Karakterlap!$V$7,$A$24:$D$33,4,FALSE),0)</f>
        <v>13</v>
      </c>
      <c r="BD63" s="36">
        <f>VLOOKUP("3k6(2x)",$I$2:$J$11,2,FALSE)+IFERROR(VLOOKUP(Karakterlap!$V$7,$A$24:$E$33,5,FALSE),0)</f>
        <v>11</v>
      </c>
      <c r="BE63" s="36">
        <f>VLOOKUP("3k6(2x)",$I$2:$J$11,2,FALSE)+IFERROR(VLOOKUP(Karakterlap!$V$7,$A$24:$F$33,6,FALSE),0)</f>
        <v>11</v>
      </c>
      <c r="BF63" s="36">
        <f>VLOOKUP("k10+8",$I$2:$J$11,2,FALSE)+IFERROR(VLOOKUP(Karakterlap!$V$7,$A$24:$G$33,7,FALSE),0)</f>
        <v>14</v>
      </c>
      <c r="BG63" s="48">
        <f>VLOOKUP("k10+10",$I$2:$J$11,2,FALSE)+IFERROR(VLOOKUP(Karakterlap!$V$7,$A$24:$H$33,8,FALSE),0)</f>
        <v>16</v>
      </c>
      <c r="BH63" s="36">
        <f>VLOOKUP("k10+8",$I$2:$J$11,2,FALSE)+IFERROR(VLOOKUP(Karakterlap!$V$7,$A$24:$I$33,9,FALSE),0)</f>
        <v>14</v>
      </c>
      <c r="BI63" s="36">
        <f t="shared" si="2"/>
        <v>14</v>
      </c>
      <c r="BJ63" s="36">
        <f>VLOOKUP("k6+12",$I$2:$J$11,2,FALSE)+IFERROR(VLOOKUP(Karakterlap!$V$7,$A$24:$J$33,10,FALSE),0)</f>
        <v>16</v>
      </c>
      <c r="BK63" s="36">
        <f t="shared" si="3"/>
        <v>14</v>
      </c>
      <c r="BL63" s="36">
        <f>IF((SUM(Karakterlap!$F$3:$F$12)-SUM(BB63:BK63))&lt;0,0,SUM(Karakterlap!$F$3:$F$12)-SUM(BB63:BK63))</f>
        <v>0</v>
      </c>
      <c r="BM63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63&gt;18,BI63,18))&gt;0,Karakterlap!$F$10-IF(BI63&gt;18,BI63,18),0),0)+IF(Karakterlap!$F$11&gt;(18+IFERROR(VLOOKUP(Karakterlap!$V$7,$A$24:$J$33,10,FALSE),0)),(Karakterlap!$F$11-(18+IFERROR(VLOOKUP(Karakterlap!$V$7,$A$24:$J$33,10,FALSE),0))),0)+IF(Karakterlap!$F$12&gt;18,IF((Karakterlap!$F$12-IF(BK63&gt;18,BK63,18))&gt;0,Karakterlap!$F$12-IF(BK63&gt;18,BK63,18),0),0)</f>
        <v>#VALUE!</v>
      </c>
      <c r="BU63" t="s">
        <v>977</v>
      </c>
      <c r="BV63" t="s">
        <v>977</v>
      </c>
      <c r="BW63" s="5"/>
      <c r="BX63" s="97" t="s">
        <v>189</v>
      </c>
      <c r="BY63" s="97" t="s">
        <v>189</v>
      </c>
      <c r="BZ63" s="97" t="s">
        <v>187</v>
      </c>
      <c r="CA63" s="97" t="s">
        <v>187</v>
      </c>
      <c r="CB63" s="97" t="s">
        <v>190</v>
      </c>
      <c r="CC63" s="97" t="s">
        <v>193</v>
      </c>
      <c r="CD63" s="97" t="s">
        <v>190</v>
      </c>
      <c r="CE63" s="97" t="s">
        <v>190</v>
      </c>
      <c r="CF63" s="97" t="s">
        <v>192</v>
      </c>
      <c r="CG63" s="97" t="s">
        <v>190</v>
      </c>
    </row>
    <row r="64" spans="1:85" x14ac:dyDescent="0.2">
      <c r="A64" t="s">
        <v>885</v>
      </c>
      <c r="L64" t="s">
        <v>821</v>
      </c>
      <c r="M64" s="9">
        <v>0</v>
      </c>
      <c r="N64" s="9">
        <v>161</v>
      </c>
      <c r="O64" s="9">
        <v>331</v>
      </c>
      <c r="P64" s="9">
        <v>661</v>
      </c>
      <c r="Q64" s="9">
        <v>1301</v>
      </c>
      <c r="R64" s="9">
        <v>2601</v>
      </c>
      <c r="S64" s="9">
        <v>5001</v>
      </c>
      <c r="T64" s="9">
        <v>9001</v>
      </c>
      <c r="U64" s="9">
        <v>23001</v>
      </c>
      <c r="V64" s="9">
        <v>50001</v>
      </c>
      <c r="W64" s="9">
        <v>90001</v>
      </c>
      <c r="X64" s="9">
        <v>130001</v>
      </c>
      <c r="Y64">
        <f>IFERROR(IF(VLOOKUP(L64,Karakterlap!$P$3:$Z$4,10,FALSE)&gt;13,165001+((VLOOKUP(L64,Karakterlap!$P$3:$Z$4,10,FALSE)-13)*50000),165001),165001)</f>
        <v>165001</v>
      </c>
      <c r="Z64" s="9">
        <v>5</v>
      </c>
      <c r="AA64" s="9">
        <v>17</v>
      </c>
      <c r="AB64" s="9">
        <v>72</v>
      </c>
      <c r="AC64" s="9">
        <v>0</v>
      </c>
      <c r="AD64" s="9">
        <f>IFERROR(VLOOKUP(L64,Karakterlap!$P$3:$Z$4,10,FALSE)*8,8)</f>
        <v>8</v>
      </c>
      <c r="AE64" s="9">
        <f>IFERROR(IF(Karakterlap!$P$5="Váltott kaszt",IF(Karakterlap!$P$3=Adattábla!$L64,Karakterlap!$Y$3*3,IF(Karakterlap!$P$4=Adattábla!$L64,(Karakterlap!$Y$4-Adattábla!$I$20)*3,3)),VLOOKUP(Adattábla!$L64,Karakterlap!$P$3:$Z$4,10,FALSE)*3),3)</f>
        <v>3</v>
      </c>
      <c r="AF64" s="9">
        <f>IFERROR(IF(Karakterlap!$P$5="Váltott kaszt",IF(Karakterlap!$P$3=Adattábla!$L64,Karakterlap!$Y$3*3,IF(Karakterlap!$P$4=Adattábla!$L64,(Karakterlap!$Y$4-Adattábla!$I$20)*3,3)),VLOOKUP(Adattábla!$L64,Karakterlap!$P$3:$Z$4,10,FALSE)*3),3)</f>
        <v>3</v>
      </c>
      <c r="AG64" s="9">
        <v>6</v>
      </c>
      <c r="AH64" s="9">
        <f>IF(Karakterlap!$P$5="Iker kaszt",IF(Karakterlap!$P$3=L64,IFERROR((Karakterlap!$P$6*10)+(VLOOKUP(L64,Karakterlap!$P$3:$Z$4,10,FALSE)-Karakterlap!$P$6),10),IF(Karakterlap!$P$4=L64,VLOOKUP(L64,Karakterlap!$P$3:$Z$4,10,FALSE),10)),IF(Karakterlap!$P$5="Váltott kaszt",IF(L64=Karakterlap!$P$3,(Karakterlap!$Y$3+3)*10,VLOOKUP(L64,Karakterlap!$P$3:$Z$4,10,FALSE)*10),IFERROR(VLOOKUP(L64,Karakterlap!$P$3:$Z$4,10,FALSE)*10,10)))</f>
        <v>10</v>
      </c>
      <c r="AI64" s="9">
        <v>0</v>
      </c>
      <c r="AJ64" s="9">
        <v>6</v>
      </c>
      <c r="AK64" s="9">
        <v>6</v>
      </c>
      <c r="AL64" s="9">
        <f>IFERROR(VLOOKUP(L64,Karakterlap!$P$3:$Z$4,10,FALSE)*($E$18+2),$E$18+2)</f>
        <v>8</v>
      </c>
      <c r="AM64" s="9">
        <f>IFERROR(IF(VLOOKUP(L64,Karakterlap!$P$3:$Z$4,10,FALSE)&gt;1,9+((VLOOKUP(L64,Karakterlap!$P$3:$Z$4,10,FALSE)-1)*((ROUND($E$18/2,0))+6)),9),9)</f>
        <v>9</v>
      </c>
      <c r="AN64" t="s">
        <v>92</v>
      </c>
      <c r="AO64" t="str">
        <f>IFERROR((IF(Karakterlap!$F$9&gt;10,Karakterlap!$F$9-10,0))+5+((VLOOKUP(L64,Karakterlap!$P$3:$Z$4,10,FALSE)-1)*4),"más kaszt")</f>
        <v>más kaszt</v>
      </c>
      <c r="BA64">
        <f>IFERROR(IF(Karakterlap!$P$6&gt;13,165001+((Karakterlap!$P$6-13)*50000),165001),165001)</f>
        <v>165001</v>
      </c>
      <c r="BB64" s="36">
        <f>VLOOKUP("2k6+6",$I$2:$J$11,2,FALSE)+IFERROR(VLOOKUP(Karakterlap!$V$7,$A$24:$C$33,3,FALSE),0)</f>
        <v>13</v>
      </c>
      <c r="BC64" s="36">
        <f>VLOOKUP("2k6+6",$I$2:$J$11,2,FALSE)+IFERROR(VLOOKUP(Karakterlap!$V$7,$A$24:$D$33,4,FALSE),0)</f>
        <v>13</v>
      </c>
      <c r="BD64" s="36">
        <f>VLOOKUP("3k6(2x)",$I$2:$J$11,2,FALSE)+IFERROR(VLOOKUP(Karakterlap!$V$7,$A$24:$E$33,5,FALSE),0)</f>
        <v>11</v>
      </c>
      <c r="BE64" s="36">
        <f>VLOOKUP("3k6(2x)",$I$2:$J$11,2,FALSE)+IFERROR(VLOOKUP(Karakterlap!$V$7,$A$24:$F$33,6,FALSE),0)</f>
        <v>11</v>
      </c>
      <c r="BF64" s="36">
        <f>VLOOKUP("k10+8",$I$2:$J$11,2,FALSE)+IFERROR(VLOOKUP(Karakterlap!$V$7,$A$24:$G$33,7,FALSE),0)</f>
        <v>14</v>
      </c>
      <c r="BG64" s="48">
        <f>VLOOKUP("k10+10",$I$2:$J$11,2,FALSE)+IFERROR(VLOOKUP(Karakterlap!$V$7,$A$24:$H$33,8,FALSE),0)</f>
        <v>16</v>
      </c>
      <c r="BH64" s="36">
        <f>VLOOKUP("k10+8",$I$2:$J$11,2,FALSE)+IFERROR(VLOOKUP(Karakterlap!$V$7,$A$24:$I$33,9,FALSE),0)</f>
        <v>14</v>
      </c>
      <c r="BI64" s="36">
        <f t="shared" si="2"/>
        <v>14</v>
      </c>
      <c r="BJ64" s="36">
        <f>VLOOKUP("k6+12",$I$2:$J$11,2,FALSE)+IFERROR(VLOOKUP(Karakterlap!$V$7,$A$24:$J$33,10,FALSE),0)</f>
        <v>16</v>
      </c>
      <c r="BK64" s="36">
        <f t="shared" si="3"/>
        <v>14</v>
      </c>
      <c r="BL64" s="36">
        <f>IF((SUM(Karakterlap!$F$3:$F$12)-SUM(BB64:BK64))&lt;0,0,SUM(Karakterlap!$F$3:$F$12)-SUM(BB64:BK64))</f>
        <v>0</v>
      </c>
      <c r="BM64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64&gt;18,BI64,18))&gt;0,Karakterlap!$F$10-IF(BI64&gt;18,BI64,18),0),0)+IF(Karakterlap!$F$11&gt;(18+IFERROR(VLOOKUP(Karakterlap!$V$7,$A$24:$J$33,10,FALSE),0)),(Karakterlap!$F$11-(18+IFERROR(VLOOKUP(Karakterlap!$V$7,$A$24:$J$33,10,FALSE),0))),0)+IF(Karakterlap!$F$12&gt;18,IF((Karakterlap!$F$12-IF(BK64&gt;18,BK64,18))&gt;0,Karakterlap!$F$12-IF(BK64&gt;18,BK64,18),0),0)</f>
        <v>#VALUE!</v>
      </c>
      <c r="BU64" t="s">
        <v>977</v>
      </c>
      <c r="BV64" t="s">
        <v>977</v>
      </c>
      <c r="BW64" s="5"/>
      <c r="BX64" s="97" t="s">
        <v>189</v>
      </c>
      <c r="BY64" s="97" t="s">
        <v>189</v>
      </c>
      <c r="BZ64" s="97" t="s">
        <v>187</v>
      </c>
      <c r="CA64" s="97" t="s">
        <v>187</v>
      </c>
      <c r="CB64" s="97" t="s">
        <v>190</v>
      </c>
      <c r="CC64" s="97" t="s">
        <v>193</v>
      </c>
      <c r="CD64" s="97" t="s">
        <v>190</v>
      </c>
      <c r="CE64" s="97" t="s">
        <v>190</v>
      </c>
      <c r="CF64" s="97" t="s">
        <v>192</v>
      </c>
      <c r="CG64" s="97" t="s">
        <v>190</v>
      </c>
    </row>
    <row r="65" spans="1:85" x14ac:dyDescent="0.2">
      <c r="A65" t="s">
        <v>886</v>
      </c>
      <c r="L65" t="s">
        <v>823</v>
      </c>
      <c r="M65" s="9">
        <v>0</v>
      </c>
      <c r="N65" s="9">
        <v>161</v>
      </c>
      <c r="O65" s="9">
        <v>331</v>
      </c>
      <c r="P65" s="9">
        <v>661</v>
      </c>
      <c r="Q65" s="9">
        <v>1301</v>
      </c>
      <c r="R65" s="9">
        <v>2601</v>
      </c>
      <c r="S65" s="9">
        <v>5001</v>
      </c>
      <c r="T65" s="9">
        <v>9001</v>
      </c>
      <c r="U65" s="9">
        <v>23001</v>
      </c>
      <c r="V65" s="9">
        <v>50001</v>
      </c>
      <c r="W65" s="9">
        <v>90001</v>
      </c>
      <c r="X65" s="9">
        <v>130001</v>
      </c>
      <c r="Y65">
        <f>IFERROR(IF(VLOOKUP(L65,Karakterlap!$P$3:$Z$4,10,FALSE)&gt;13,165001+((VLOOKUP(L65,Karakterlap!$P$3:$Z$4,10,FALSE)-13)*50000),165001),165001)</f>
        <v>165001</v>
      </c>
      <c r="Z65" s="9">
        <v>5</v>
      </c>
      <c r="AA65" s="9">
        <v>17</v>
      </c>
      <c r="AB65" s="9">
        <v>72</v>
      </c>
      <c r="AC65" s="9">
        <v>0</v>
      </c>
      <c r="AD65" s="9">
        <f>IFERROR(VLOOKUP(L65,Karakterlap!$P$3:$Z$4,10,FALSE)*8,8)</f>
        <v>8</v>
      </c>
      <c r="AE65" s="9">
        <f>IFERROR(IF(Karakterlap!$P$5="Váltott kaszt",IF(Karakterlap!$P$3=Adattábla!$L65,Karakterlap!$Y$3*3,IF(Karakterlap!$P$4=Adattábla!$L65,(Karakterlap!$Y$4-Adattábla!$I$20)*3,3)),VLOOKUP(Adattábla!$L65,Karakterlap!$P$3:$Z$4,10,FALSE)*3),3)</f>
        <v>3</v>
      </c>
      <c r="AF65" s="9">
        <f>IFERROR(IF(Karakterlap!$P$5="Váltott kaszt",IF(Karakterlap!$P$3=Adattábla!$L65,Karakterlap!$Y$3*3,IF(Karakterlap!$P$4=Adattábla!$L65,(Karakterlap!$Y$4-Adattábla!$I$20)*3,3)),VLOOKUP(Adattábla!$L65,Karakterlap!$P$3:$Z$4,10,FALSE)*3),3)</f>
        <v>3</v>
      </c>
      <c r="AG65" s="9">
        <v>6</v>
      </c>
      <c r="AH65" s="9">
        <f>IF(Karakterlap!$P$5="Iker kaszt",IF(Karakterlap!$P$3=L65,IFERROR((Karakterlap!$P$6*10)+(VLOOKUP(L65,Karakterlap!$P$3:$Z$4,10,FALSE)-Karakterlap!$P$6),10),IF(Karakterlap!$P$4=L65,VLOOKUP(L65,Karakterlap!$P$3:$Z$4,10,FALSE),10)),IF(Karakterlap!$P$5="Váltott kaszt",IF(L65=Karakterlap!$P$3,(Karakterlap!$Y$3+3)*10,VLOOKUP(L65,Karakterlap!$P$3:$Z$4,10,FALSE)*10),IFERROR(VLOOKUP(L65,Karakterlap!$P$3:$Z$4,10,FALSE)*10,10)))</f>
        <v>10</v>
      </c>
      <c r="AI65" s="9">
        <v>0</v>
      </c>
      <c r="AJ65" s="9">
        <v>6</v>
      </c>
      <c r="AK65" s="9">
        <v>6</v>
      </c>
      <c r="AL65" s="9">
        <f>IFERROR(VLOOKUP(L65,Karakterlap!$P$3:$Z$4,10,FALSE)*($E$18+2),$E$18+2)</f>
        <v>8</v>
      </c>
      <c r="AM65" s="9">
        <f>IFERROR(IF(VLOOKUP(L65,Karakterlap!$P$3:$Z$4,10,FALSE)&gt;1,9+((VLOOKUP(L65,Karakterlap!$P$3:$Z$4,10,FALSE)-1)*((ROUND($E$18/2,0))+6)),9),9)</f>
        <v>9</v>
      </c>
      <c r="AN65" t="s">
        <v>92</v>
      </c>
      <c r="AO65" t="str">
        <f>IFERROR((IF(Karakterlap!$F$9&gt;10,Karakterlap!$F$9-10,0))+5+((VLOOKUP(L65,Karakterlap!$P$3:$Z$4,10,FALSE)-1)*4),"más kaszt")</f>
        <v>más kaszt</v>
      </c>
      <c r="AX65" s="14">
        <v>10</v>
      </c>
      <c r="AZ65" s="14">
        <v>10</v>
      </c>
      <c r="BA65">
        <f>IFERROR(IF(Karakterlap!$P$6&gt;13,165001+((Karakterlap!$P$6-13)*50000),165001),165001)</f>
        <v>165001</v>
      </c>
      <c r="BB65" s="36">
        <f>VLOOKUP("2k6+6",$I$2:$J$11,2,FALSE)+IFERROR(VLOOKUP(Karakterlap!$V$7,$A$24:$C$33,3,FALSE),0)</f>
        <v>13</v>
      </c>
      <c r="BC65" s="36">
        <f>VLOOKUP("2k6+6",$I$2:$J$11,2,FALSE)+IFERROR(VLOOKUP(Karakterlap!$V$7,$A$24:$D$33,4,FALSE),0)</f>
        <v>13</v>
      </c>
      <c r="BD65" s="36">
        <f>VLOOKUP("3k6(2x)",$I$2:$J$11,2,FALSE)+IFERROR(VLOOKUP(Karakterlap!$V$7,$A$24:$E$33,5,FALSE),0)</f>
        <v>11</v>
      </c>
      <c r="BE65" s="36">
        <f>VLOOKUP("3k6(2x)",$I$2:$J$11,2,FALSE)+IFERROR(VLOOKUP(Karakterlap!$V$7,$A$24:$F$33,6,FALSE),0)</f>
        <v>11</v>
      </c>
      <c r="BF65" s="36">
        <f>VLOOKUP("k10+8",$I$2:$J$11,2,FALSE)+IFERROR(VLOOKUP(Karakterlap!$V$7,$A$24:$G$33,7,FALSE),0)</f>
        <v>14</v>
      </c>
      <c r="BG65" s="48">
        <f>VLOOKUP("k10+10",$I$2:$J$11,2,FALSE)+IFERROR(VLOOKUP(Karakterlap!$V$7,$A$24:$H$33,8,FALSE),0)</f>
        <v>16</v>
      </c>
      <c r="BH65" s="36">
        <f>VLOOKUP("k10+8",$I$2:$J$11,2,FALSE)+IFERROR(VLOOKUP(Karakterlap!$V$7,$A$24:$I$33,9,FALSE),0)</f>
        <v>14</v>
      </c>
      <c r="BI65" s="36">
        <f t="shared" si="2"/>
        <v>14</v>
      </c>
      <c r="BJ65" s="36">
        <f>VLOOKUP("k6+12",$I$2:$J$11,2,FALSE)+IFERROR(VLOOKUP(Karakterlap!$V$7,$A$24:$J$33,10,FALSE),0)</f>
        <v>16</v>
      </c>
      <c r="BK65" s="36">
        <f t="shared" si="3"/>
        <v>14</v>
      </c>
      <c r="BL65" s="36">
        <f>IF((SUM(Karakterlap!$F$3:$F$12)-SUM(BB65:BK65))&lt;0,0,SUM(Karakterlap!$F$3:$F$12)-SUM(BB65:BK65))</f>
        <v>0</v>
      </c>
      <c r="BM65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65&gt;18,BI65,18))&gt;0,Karakterlap!$F$10-IF(BI65&gt;18,BI65,18),0),0)+IF(Karakterlap!$F$11&gt;(18+IFERROR(VLOOKUP(Karakterlap!$V$7,$A$24:$J$33,10,FALSE),0)),(Karakterlap!$F$11-(18+IFERROR(VLOOKUP(Karakterlap!$V$7,$A$24:$J$33,10,FALSE),0))),0)+IF(Karakterlap!$F$12&gt;18,IF((Karakterlap!$F$12-IF(BK65&gt;18,BK65,18))&gt;0,Karakterlap!$F$12-IF(BK65&gt;18,BK65,18),0),0)</f>
        <v>#VALUE!</v>
      </c>
      <c r="BU65" t="s">
        <v>977</v>
      </c>
      <c r="BV65" t="s">
        <v>977</v>
      </c>
      <c r="BW65" s="5"/>
      <c r="BX65" s="97" t="s">
        <v>189</v>
      </c>
      <c r="BY65" s="97" t="s">
        <v>189</v>
      </c>
      <c r="BZ65" s="97" t="s">
        <v>187</v>
      </c>
      <c r="CA65" s="97" t="s">
        <v>187</v>
      </c>
      <c r="CB65" s="97" t="s">
        <v>190</v>
      </c>
      <c r="CC65" s="97" t="s">
        <v>193</v>
      </c>
      <c r="CD65" s="97" t="s">
        <v>190</v>
      </c>
      <c r="CE65" s="97" t="s">
        <v>190</v>
      </c>
      <c r="CF65" s="97" t="s">
        <v>192</v>
      </c>
      <c r="CG65" s="97" t="s">
        <v>190</v>
      </c>
    </row>
    <row r="66" spans="1:85" x14ac:dyDescent="0.2">
      <c r="A66" t="s">
        <v>887</v>
      </c>
      <c r="L66" t="s">
        <v>824</v>
      </c>
      <c r="M66" s="9">
        <v>0</v>
      </c>
      <c r="N66" s="9">
        <v>161</v>
      </c>
      <c r="O66" s="9">
        <v>331</v>
      </c>
      <c r="P66" s="9">
        <v>661</v>
      </c>
      <c r="Q66" s="9">
        <v>1301</v>
      </c>
      <c r="R66" s="9">
        <v>2601</v>
      </c>
      <c r="S66" s="9">
        <v>5001</v>
      </c>
      <c r="T66" s="9">
        <v>9001</v>
      </c>
      <c r="U66" s="9">
        <v>23001</v>
      </c>
      <c r="V66" s="9">
        <v>50001</v>
      </c>
      <c r="W66" s="9">
        <v>90001</v>
      </c>
      <c r="X66" s="9">
        <v>130001</v>
      </c>
      <c r="Y66">
        <f>IFERROR(IF(VLOOKUP(L66,Karakterlap!$P$3:$Z$4,10,FALSE)&gt;13,165001+((VLOOKUP(L66,Karakterlap!$P$3:$Z$4,10,FALSE)-13)*50000),165001),165001)</f>
        <v>165001</v>
      </c>
      <c r="Z66" s="9">
        <v>5</v>
      </c>
      <c r="AA66" s="9">
        <v>20</v>
      </c>
      <c r="AB66" s="9">
        <v>75</v>
      </c>
      <c r="AC66" s="9">
        <v>0</v>
      </c>
      <c r="AD66" s="9">
        <f>IFERROR(VLOOKUP(L66,Karakterlap!$P$3:$Z$4,10,FALSE)*8,8)</f>
        <v>8</v>
      </c>
      <c r="AE66" s="9">
        <f>IFERROR(IF(Karakterlap!$P$5="Váltott kaszt",IF(Karakterlap!$P$3=Adattábla!$L66,Karakterlap!$Y$3*3,IF(Karakterlap!$P$4=Adattábla!$L66,(Karakterlap!$Y$4-Adattábla!$I$20)*3,3)),VLOOKUP(Adattábla!$L66,Karakterlap!$P$3:$Z$4,10,FALSE)*3),3)</f>
        <v>3</v>
      </c>
      <c r="AF66" s="9">
        <f>IFERROR(IF(Karakterlap!$P$5="Váltott kaszt",IF(Karakterlap!$P$3=Adattábla!$L66,Karakterlap!$Y$3*3,IF(Karakterlap!$P$4=Adattábla!$L66,(Karakterlap!$Y$4-Adattábla!$I$20)*3,3)),VLOOKUP(Adattábla!$L66,Karakterlap!$P$3:$Z$4,10,FALSE)*3),3)</f>
        <v>3</v>
      </c>
      <c r="AG66" s="9">
        <v>6</v>
      </c>
      <c r="AH66" s="9">
        <f>IF(Karakterlap!$P$5="Iker kaszt",IF(Karakterlap!$P$3=L66,IFERROR((Karakterlap!$P$6*10)+(VLOOKUP(L66,Karakterlap!$P$3:$Z$4,10,FALSE)-Karakterlap!$P$6),10),IF(Karakterlap!$P$4=L66,VLOOKUP(L66,Karakterlap!$P$3:$Z$4,10,FALSE),10)),IF(Karakterlap!$P$5="Váltott kaszt",IF(L66=Karakterlap!$P$3,(Karakterlap!$Y$3+3)*10,VLOOKUP(L66,Karakterlap!$P$3:$Z$4,10,FALSE)*10),IFERROR(VLOOKUP(L66,Karakterlap!$P$3:$Z$4,10,FALSE)*10,10)))</f>
        <v>10</v>
      </c>
      <c r="AI66" s="9">
        <v>0</v>
      </c>
      <c r="AJ66" s="9">
        <v>6</v>
      </c>
      <c r="AK66" s="9">
        <v>6</v>
      </c>
      <c r="AL66" s="9">
        <f>IFERROR(VLOOKUP(L66,Karakterlap!$P$3:$Z$4,10,FALSE)*($E$18+2),$E$18+2)</f>
        <v>8</v>
      </c>
      <c r="AM66" s="9">
        <f>IFERROR(IF(VLOOKUP(L66,Karakterlap!$P$3:$Z$4,10,FALSE)&gt;1,9+((VLOOKUP(L66,Karakterlap!$P$3:$Z$4,10,FALSE)-1)*((ROUND($E$18/2,0))+6)),9),9)</f>
        <v>9</v>
      </c>
      <c r="AN66" t="s">
        <v>92</v>
      </c>
      <c r="AO66" t="str">
        <f>IFERROR((IF(Karakterlap!$F$9&gt;10,Karakterlap!$F$9-10,0))+5+((VLOOKUP(L66,Karakterlap!$P$3:$Z$4,10,FALSE)-1)*4),"más kaszt")</f>
        <v>más kaszt</v>
      </c>
      <c r="AR66" s="14">
        <v>15</v>
      </c>
      <c r="BA66">
        <f>IFERROR(IF(Karakterlap!$P$6&gt;13,165001+((Karakterlap!$P$6-13)*50000),165001),165001)</f>
        <v>165001</v>
      </c>
      <c r="BB66" s="36">
        <f>VLOOKUP("2k6+6",$I$2:$J$11,2,FALSE)+IFERROR(VLOOKUP(Karakterlap!$V$7,$A$24:$C$33,3,FALSE),0)</f>
        <v>13</v>
      </c>
      <c r="BC66" s="36">
        <f>VLOOKUP("2k6+6",$I$2:$J$11,2,FALSE)+IFERROR(VLOOKUP(Karakterlap!$V$7,$A$24:$D$33,4,FALSE),0)</f>
        <v>13</v>
      </c>
      <c r="BD66" s="36">
        <f>VLOOKUP("3k6(2x)",$I$2:$J$11,2,FALSE)+IFERROR(VLOOKUP(Karakterlap!$V$7,$A$24:$E$33,5,FALSE),0)</f>
        <v>11</v>
      </c>
      <c r="BE66" s="36">
        <f>VLOOKUP("3k6(2x)",$I$2:$J$11,2,FALSE)+IFERROR(VLOOKUP(Karakterlap!$V$7,$A$24:$F$33,6,FALSE),0)</f>
        <v>11</v>
      </c>
      <c r="BF66" s="36">
        <f>VLOOKUP("k10+8",$I$2:$J$11,2,FALSE)+IFERROR(VLOOKUP(Karakterlap!$V$7,$A$24:$G$33,7,FALSE),0)</f>
        <v>14</v>
      </c>
      <c r="BG66" s="48">
        <f>VLOOKUP("k10+10",$I$2:$J$11,2,FALSE)+IFERROR(VLOOKUP(Karakterlap!$V$7,$A$24:$H$33,8,FALSE),0)</f>
        <v>16</v>
      </c>
      <c r="BH66" s="36">
        <f>VLOOKUP("k10+8",$I$2:$J$11,2,FALSE)+IFERROR(VLOOKUP(Karakterlap!$V$7,$A$24:$I$33,9,FALSE),0)</f>
        <v>14</v>
      </c>
      <c r="BI66" s="36">
        <f t="shared" si="2"/>
        <v>14</v>
      </c>
      <c r="BJ66" s="36">
        <f>VLOOKUP("k6+12",$I$2:$J$11,2,FALSE)+IFERROR(VLOOKUP(Karakterlap!$V$7,$A$24:$J$33,10,FALSE),0)</f>
        <v>16</v>
      </c>
      <c r="BK66" s="36">
        <f t="shared" si="3"/>
        <v>14</v>
      </c>
      <c r="BL66" s="36">
        <f>IF((SUM(Karakterlap!$F$3:$F$12)-SUM(BB66:BK66))&lt;0,0,SUM(Karakterlap!$F$3:$F$12)-SUM(BB66:BK66))</f>
        <v>0</v>
      </c>
      <c r="BM66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66&gt;18,BI66,18))&gt;0,Karakterlap!$F$10-IF(BI66&gt;18,BI66,18),0),0)+IF(Karakterlap!$F$11&gt;(18+IFERROR(VLOOKUP(Karakterlap!$V$7,$A$24:$J$33,10,FALSE),0)),(Karakterlap!$F$11-(18+IFERROR(VLOOKUP(Karakterlap!$V$7,$A$24:$J$33,10,FALSE),0))),0)+IF(Karakterlap!$F$12&gt;18,IF((Karakterlap!$F$12-IF(BK66&gt;18,BK66,18))&gt;0,Karakterlap!$F$12-IF(BK66&gt;18,BK66,18),0),0)</f>
        <v>#VALUE!</v>
      </c>
      <c r="BU66" t="s">
        <v>977</v>
      </c>
      <c r="BV66" t="s">
        <v>977</v>
      </c>
      <c r="BW66" s="5"/>
      <c r="BX66" s="97" t="s">
        <v>189</v>
      </c>
      <c r="BY66" s="97" t="s">
        <v>189</v>
      </c>
      <c r="BZ66" s="97" t="s">
        <v>187</v>
      </c>
      <c r="CA66" s="97" t="s">
        <v>187</v>
      </c>
      <c r="CB66" s="97" t="s">
        <v>190</v>
      </c>
      <c r="CC66" s="97" t="s">
        <v>193</v>
      </c>
      <c r="CD66" s="97" t="s">
        <v>190</v>
      </c>
      <c r="CE66" s="97" t="s">
        <v>190</v>
      </c>
      <c r="CF66" s="97" t="s">
        <v>192</v>
      </c>
      <c r="CG66" s="97" t="s">
        <v>190</v>
      </c>
    </row>
    <row r="67" spans="1:85" x14ac:dyDescent="0.2">
      <c r="A67" t="s">
        <v>888</v>
      </c>
      <c r="L67" s="9" t="s">
        <v>837</v>
      </c>
      <c r="M67" s="9">
        <v>0</v>
      </c>
      <c r="N67" s="9">
        <v>161</v>
      </c>
      <c r="O67" s="9">
        <v>331</v>
      </c>
      <c r="P67" s="9">
        <v>661</v>
      </c>
      <c r="Q67" s="9">
        <v>1301</v>
      </c>
      <c r="R67" s="9">
        <v>2601</v>
      </c>
      <c r="S67" s="9">
        <v>5001</v>
      </c>
      <c r="T67" s="9">
        <v>9001</v>
      </c>
      <c r="U67" s="9">
        <v>23001</v>
      </c>
      <c r="V67" s="9">
        <v>50001</v>
      </c>
      <c r="W67" s="9">
        <v>90001</v>
      </c>
      <c r="X67" s="9">
        <v>130001</v>
      </c>
      <c r="Y67" s="9">
        <f>IFERROR(IF(VLOOKUP(L67,Karakterlap!$P$3:$Z$4,10,FALSE)&gt;13,165001+((VLOOKUP(L67,Karakterlap!$P$3:$Z$4,10,FALSE)-13)*50000),165001),165001)</f>
        <v>165001</v>
      </c>
      <c r="Z67" s="9">
        <v>5</v>
      </c>
      <c r="AA67" s="9">
        <v>17</v>
      </c>
      <c r="AB67" s="9">
        <v>72</v>
      </c>
      <c r="AC67" s="9">
        <v>0</v>
      </c>
      <c r="AD67" s="9">
        <f>IFERROR(VLOOKUP(L67,Karakterlap!$P$3:$Z$4,10,FALSE)*8,8)</f>
        <v>8</v>
      </c>
      <c r="AE67" s="9">
        <f>IFERROR(IF(Karakterlap!$P$5="Váltott kaszt",IF(Karakterlap!$P$3=Adattábla!$L67,Karakterlap!$Y$3*3,IF(Karakterlap!$P$4=Adattábla!$L67,(Karakterlap!$Y$4-Adattábla!$I$20)*3,3)),VLOOKUP(Adattábla!$L67,Karakterlap!$P$3:$Z$4,10,FALSE)*3),3)</f>
        <v>3</v>
      </c>
      <c r="AF67" s="9">
        <f>IFERROR(IF(Karakterlap!$P$5="Váltott kaszt",IF(Karakterlap!$P$3=Adattábla!$L67,Karakterlap!$Y$3*3,IF(Karakterlap!$P$4=Adattábla!$L67,(Karakterlap!$Y$4-Adattábla!$I$20)*3,3)),VLOOKUP(Adattábla!$L67,Karakterlap!$P$3:$Z$4,10,FALSE)*3),3)</f>
        <v>3</v>
      </c>
      <c r="AG67" s="9">
        <v>6</v>
      </c>
      <c r="AH67" s="9">
        <f>IF(Karakterlap!$P$5="Iker kaszt",IF(Karakterlap!$P$3=L67,IFERROR((Karakterlap!$P$6*10)+(VLOOKUP(L67,Karakterlap!$P$3:$Z$4,10,FALSE)-Karakterlap!$P$6),10),IF(Karakterlap!$P$4=L67,VLOOKUP(L67,Karakterlap!$P$3:$Z$4,10,FALSE),10)),IF(Karakterlap!$P$5="Váltott kaszt",IF(L67=Karakterlap!$P$3,(Karakterlap!$Y$3+3)*10,VLOOKUP(L67,Karakterlap!$P$3:$Z$4,10,FALSE)*10),IFERROR(VLOOKUP(L67,Karakterlap!$P$3:$Z$4,10,FALSE)*10,10)))</f>
        <v>10</v>
      </c>
      <c r="AI67" s="9">
        <v>0</v>
      </c>
      <c r="AJ67" s="9">
        <v>6</v>
      </c>
      <c r="AK67" s="9">
        <v>6</v>
      </c>
      <c r="AL67" s="9">
        <f>IFERROR(VLOOKUP(L67,Karakterlap!$P$3:$Z$4,10,FALSE)*($E$18+2),$E$18+2)</f>
        <v>8</v>
      </c>
      <c r="AM67" s="9">
        <f>IFERROR(IF(VLOOKUP(L67,Karakterlap!$P$3:$Z$4,10,FALSE)&gt;1,9+((VLOOKUP(L67,Karakterlap!$P$3:$Z$4,10,FALSE)-1)*((ROUND($E$18/2,0))+6)),9),9)</f>
        <v>9</v>
      </c>
      <c r="AN67" s="9" t="s">
        <v>92</v>
      </c>
      <c r="AO67" s="9" t="str">
        <f>IFERROR((IF(Karakterlap!$F$9&gt;10,Karakterlap!$F$9-10,0))+5+((VLOOKUP(L67,Karakterlap!$P$3:$Z$4,10,FALSE)-1)*4),"más kaszt")</f>
        <v>más kaszt</v>
      </c>
      <c r="AP67" s="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9">
        <f>IFERROR(IF(Karakterlap!$P$6&gt;13,165001+((Karakterlap!$P$6-13)*50000),165001),165001)</f>
        <v>165001</v>
      </c>
      <c r="BB67" s="36">
        <f>VLOOKUP("2k6+6",$I$2:$J$11,2,FALSE)+IFERROR(VLOOKUP(Karakterlap!$V$7,$A$24:$C$33,3,FALSE),0)</f>
        <v>13</v>
      </c>
      <c r="BC67" s="36">
        <f>VLOOKUP("2k6+6",$I$2:$J$11,2,FALSE)+IFERROR(VLOOKUP(Karakterlap!$V$7,$A$24:$D$33,4,FALSE),0)</f>
        <v>13</v>
      </c>
      <c r="BD67" s="36">
        <f>VLOOKUP("3k6(2x)",$I$2:$J$11,2,FALSE)+IFERROR(VLOOKUP(Karakterlap!$V$7,$A$24:$E$33,5,FALSE),0)</f>
        <v>11</v>
      </c>
      <c r="BE67" s="36">
        <f>VLOOKUP("3k6(2x)",$I$2:$J$11,2,FALSE)+IFERROR(VLOOKUP(Karakterlap!$V$7,$A$24:$F$33,6,FALSE),0)</f>
        <v>11</v>
      </c>
      <c r="BF67" s="36">
        <f>VLOOKUP("k10+8",$I$2:$J$11,2,FALSE)+IFERROR(VLOOKUP(Karakterlap!$V$7,$A$24:$G$33,7,FALSE),0)</f>
        <v>14</v>
      </c>
      <c r="BG67" s="48">
        <f>VLOOKUP("k10+10",$I$2:$J$11,2,FALSE)+IFERROR(VLOOKUP(Karakterlap!$V$7,$A$24:$H$33,8,FALSE),0)</f>
        <v>16</v>
      </c>
      <c r="BH67" s="36">
        <f>VLOOKUP("k10+8",$I$2:$J$11,2,FALSE)+IFERROR(VLOOKUP(Karakterlap!$V$7,$A$24:$I$33,9,FALSE),0)</f>
        <v>14</v>
      </c>
      <c r="BI67" s="36">
        <f t="shared" si="2"/>
        <v>14</v>
      </c>
      <c r="BJ67" s="36">
        <f>VLOOKUP("k6+12",$I$2:$J$11,2,FALSE)+IFERROR(VLOOKUP(Karakterlap!$V$7,$A$24:$J$33,10,FALSE),0)</f>
        <v>16</v>
      </c>
      <c r="BK67" s="36">
        <f t="shared" si="3"/>
        <v>14</v>
      </c>
      <c r="BL67" s="36">
        <f>IF((SUM(Karakterlap!$F$3:$F$12)-SUM(BB67:BK67))&lt;0,0,SUM(Karakterlap!$F$3:$F$12)-SUM(BB67:BK67))</f>
        <v>0</v>
      </c>
      <c r="BM67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67&gt;18,BI67,18))&gt;0,Karakterlap!$F$10-IF(BI67&gt;18,BI67,18),0),0)+IF(Karakterlap!$F$11&gt;(18+IFERROR(VLOOKUP(Karakterlap!$V$7,$A$24:$J$33,10,FALSE),0)),(Karakterlap!$F$11-(18+IFERROR(VLOOKUP(Karakterlap!$V$7,$A$24:$J$33,10,FALSE),0))),0)+IF(Karakterlap!$F$12&gt;18,IF((Karakterlap!$F$12-IF(BK67&gt;18,BK67,18))&gt;0,Karakterlap!$F$12-IF(BK67&gt;18,BK67,18),0),0)</f>
        <v>#VALUE!</v>
      </c>
      <c r="BU67" t="s">
        <v>977</v>
      </c>
      <c r="BV67" t="s">
        <v>977</v>
      </c>
      <c r="BW67" s="5"/>
      <c r="BX67" s="97" t="s">
        <v>189</v>
      </c>
      <c r="BY67" s="97" t="s">
        <v>189</v>
      </c>
      <c r="BZ67" s="97" t="s">
        <v>187</v>
      </c>
      <c r="CA67" s="97" t="s">
        <v>187</v>
      </c>
      <c r="CB67" s="97" t="s">
        <v>190</v>
      </c>
      <c r="CC67" s="97" t="s">
        <v>193</v>
      </c>
      <c r="CD67" s="97" t="s">
        <v>190</v>
      </c>
      <c r="CE67" s="97" t="s">
        <v>190</v>
      </c>
      <c r="CF67" s="97" t="s">
        <v>192</v>
      </c>
      <c r="CG67" s="97" t="s">
        <v>190</v>
      </c>
    </row>
    <row r="68" spans="1:85" x14ac:dyDescent="0.2">
      <c r="A68" t="s">
        <v>889</v>
      </c>
      <c r="L68" s="9" t="s">
        <v>838</v>
      </c>
      <c r="M68" s="9">
        <v>0</v>
      </c>
      <c r="N68" s="9">
        <v>161</v>
      </c>
      <c r="O68" s="9">
        <v>331</v>
      </c>
      <c r="P68" s="9">
        <v>661</v>
      </c>
      <c r="Q68" s="9">
        <v>1301</v>
      </c>
      <c r="R68" s="9">
        <v>2601</v>
      </c>
      <c r="S68" s="9">
        <v>5001</v>
      </c>
      <c r="T68" s="9">
        <v>9001</v>
      </c>
      <c r="U68" s="9">
        <v>23001</v>
      </c>
      <c r="V68" s="9">
        <v>50001</v>
      </c>
      <c r="W68" s="9">
        <v>90001</v>
      </c>
      <c r="X68" s="9">
        <v>130001</v>
      </c>
      <c r="Y68" s="9">
        <f>IFERROR(IF(VLOOKUP(L68,Karakterlap!$P$3:$Z$4,10,FALSE)&gt;13,165001+((VLOOKUP(L68,Karakterlap!$P$3:$Z$4,10,FALSE)-13)*50000),165001),165001)</f>
        <v>165001</v>
      </c>
      <c r="Z68" s="9">
        <v>5</v>
      </c>
      <c r="AA68" s="9">
        <v>17</v>
      </c>
      <c r="AB68" s="9">
        <v>72</v>
      </c>
      <c r="AC68" s="9">
        <v>0</v>
      </c>
      <c r="AD68" s="9">
        <f>IFERROR(VLOOKUP(L68,Karakterlap!$P$3:$Z$4,10,FALSE)*8,8)</f>
        <v>8</v>
      </c>
      <c r="AE68" s="9">
        <f>IFERROR(IF(Karakterlap!$P$5="Váltott kaszt",IF(Karakterlap!$P$3=Adattábla!$L68,Karakterlap!$Y$3*3,IF(Karakterlap!$P$4=Adattábla!$L68,(Karakterlap!$Y$4-Adattábla!$I$20)*3,3)),VLOOKUP(Adattábla!$L68,Karakterlap!$P$3:$Z$4,10,FALSE)*3),3)</f>
        <v>3</v>
      </c>
      <c r="AF68" s="9">
        <f>IFERROR(IF(Karakterlap!$P$5="Váltott kaszt",IF(Karakterlap!$P$3=Adattábla!$L68,Karakterlap!$Y$3*3,IF(Karakterlap!$P$4=Adattábla!$L68,(Karakterlap!$Y$4-Adattábla!$I$20)*3,3)),VLOOKUP(Adattábla!$L68,Karakterlap!$P$3:$Z$4,10,FALSE)*3),3)</f>
        <v>3</v>
      </c>
      <c r="AG68" s="9">
        <v>6</v>
      </c>
      <c r="AH68" s="9">
        <f>IF(Karakterlap!$P$5="Iker kaszt",IF(Karakterlap!$P$3=L68,IFERROR((Karakterlap!$P$6*10)+(VLOOKUP(L68,Karakterlap!$P$3:$Z$4,10,FALSE)-Karakterlap!$P$6),10),IF(Karakterlap!$P$4=L68,VLOOKUP(L68,Karakterlap!$P$3:$Z$4,10,FALSE),10)),IF(Karakterlap!$P$5="Váltott kaszt",IF(L68=Karakterlap!$P$3,(Karakterlap!$Y$3+3)*10,VLOOKUP(L68,Karakterlap!$P$3:$Z$4,10,FALSE)*10),IFERROR(VLOOKUP(L68,Karakterlap!$P$3:$Z$4,10,FALSE)*10,10)))</f>
        <v>10</v>
      </c>
      <c r="AI68" s="9">
        <v>0</v>
      </c>
      <c r="AJ68" s="9">
        <v>6</v>
      </c>
      <c r="AK68" s="9">
        <v>6</v>
      </c>
      <c r="AL68" s="9">
        <f>IFERROR(VLOOKUP(L68,Karakterlap!$P$3:$Z$4,10,FALSE)*($E$18+2),$E$18+2)</f>
        <v>8</v>
      </c>
      <c r="AM68" s="9">
        <f>IFERROR(IF(VLOOKUP(L68,Karakterlap!$P$3:$Z$4,10,FALSE)&gt;1,9+((VLOOKUP(L68,Karakterlap!$P$3:$Z$4,10,FALSE)-1)*((ROUND($E$18/2,0))+6)),9),9)</f>
        <v>9</v>
      </c>
      <c r="AN68" s="9" t="s">
        <v>92</v>
      </c>
      <c r="AO68" s="9" t="str">
        <f>IFERROR((IF(Karakterlap!$F$9&gt;10,Karakterlap!$F$9-10,0))+5+((VLOOKUP(L68,Karakterlap!$P$3:$Z$4,10,FALSE)-1)*4),"más kaszt")</f>
        <v>más kaszt</v>
      </c>
      <c r="AP68" s="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9">
        <f>IFERROR(IF(Karakterlap!$P$6&gt;13,165001+((Karakterlap!$P$6-13)*50000),165001),165001)</f>
        <v>165001</v>
      </c>
      <c r="BB68" s="36">
        <f>VLOOKUP("2k6+6",$I$2:$J$11,2,FALSE)+IFERROR(VLOOKUP(Karakterlap!$V$7,$A$24:$C$33,3,FALSE),0)</f>
        <v>13</v>
      </c>
      <c r="BC68" s="36">
        <f>VLOOKUP("2k6+6",$I$2:$J$11,2,FALSE)+IFERROR(VLOOKUP(Karakterlap!$V$7,$A$24:$D$33,4,FALSE),0)</f>
        <v>13</v>
      </c>
      <c r="BD68" s="36">
        <f>VLOOKUP("3k6(2x)",$I$2:$J$11,2,FALSE)+IFERROR(VLOOKUP(Karakterlap!$V$7,$A$24:$E$33,5,FALSE),0)</f>
        <v>11</v>
      </c>
      <c r="BE68" s="36">
        <f>VLOOKUP("3k6(2x)",$I$2:$J$11,2,FALSE)+IFERROR(VLOOKUP(Karakterlap!$V$7,$A$24:$F$33,6,FALSE),0)</f>
        <v>11</v>
      </c>
      <c r="BF68" s="36">
        <f>VLOOKUP("k10+8",$I$2:$J$11,2,FALSE)+IFERROR(VLOOKUP(Karakterlap!$V$7,$A$24:$G$33,7,FALSE),0)</f>
        <v>14</v>
      </c>
      <c r="BG68" s="48">
        <f>VLOOKUP("k10+10",$I$2:$J$11,2,FALSE)+IFERROR(VLOOKUP(Karakterlap!$V$7,$A$24:$H$33,8,FALSE),0)</f>
        <v>16</v>
      </c>
      <c r="BH68" s="36">
        <f>VLOOKUP("k10+8",$I$2:$J$11,2,FALSE)+IFERROR(VLOOKUP(Karakterlap!$V$7,$A$24:$I$33,9,FALSE),0)</f>
        <v>14</v>
      </c>
      <c r="BI68" s="36">
        <f t="shared" si="2"/>
        <v>14</v>
      </c>
      <c r="BJ68" s="36">
        <f>VLOOKUP("k6+12",$I$2:$J$11,2,FALSE)+IFERROR(VLOOKUP(Karakterlap!$V$7,$A$24:$J$33,10,FALSE),0)</f>
        <v>16</v>
      </c>
      <c r="BK68" s="36">
        <f t="shared" si="3"/>
        <v>14</v>
      </c>
      <c r="BL68" s="36">
        <f>IF((SUM(Karakterlap!$F$3:$F$12)-SUM(BB68:BK68))&lt;0,0,SUM(Karakterlap!$F$3:$F$12)-SUM(BB68:BK68))</f>
        <v>0</v>
      </c>
      <c r="BM68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68&gt;18,BI68,18))&gt;0,Karakterlap!$F$10-IF(BI68&gt;18,BI68,18),0),0)+IF(Karakterlap!$F$11&gt;(18+IFERROR(VLOOKUP(Karakterlap!$V$7,$A$24:$J$33,10,FALSE),0)),(Karakterlap!$F$11-(18+IFERROR(VLOOKUP(Karakterlap!$V$7,$A$24:$J$33,10,FALSE),0))),0)+IF(Karakterlap!$F$12&gt;18,IF((Karakterlap!$F$12-IF(BK68&gt;18,BK68,18))&gt;0,Karakterlap!$F$12-IF(BK68&gt;18,BK68,18),0),0)</f>
        <v>#VALUE!</v>
      </c>
      <c r="BU68" t="s">
        <v>977</v>
      </c>
      <c r="BV68" t="s">
        <v>977</v>
      </c>
      <c r="BW68" s="5"/>
      <c r="BX68" s="97" t="s">
        <v>189</v>
      </c>
      <c r="BY68" s="97" t="s">
        <v>189</v>
      </c>
      <c r="BZ68" s="97" t="s">
        <v>187</v>
      </c>
      <c r="CA68" s="97" t="s">
        <v>187</v>
      </c>
      <c r="CB68" s="97" t="s">
        <v>190</v>
      </c>
      <c r="CC68" s="97" t="s">
        <v>193</v>
      </c>
      <c r="CD68" s="97" t="s">
        <v>190</v>
      </c>
      <c r="CE68" s="97" t="s">
        <v>190</v>
      </c>
      <c r="CF68" s="97" t="s">
        <v>192</v>
      </c>
      <c r="CG68" s="97" t="s">
        <v>190</v>
      </c>
    </row>
    <row r="69" spans="1:85" x14ac:dyDescent="0.2">
      <c r="L69" s="9" t="s">
        <v>828</v>
      </c>
      <c r="M69" s="9">
        <v>0</v>
      </c>
      <c r="N69" s="9">
        <v>161</v>
      </c>
      <c r="O69" s="9">
        <v>331</v>
      </c>
      <c r="P69" s="9">
        <v>661</v>
      </c>
      <c r="Q69" s="9">
        <v>1301</v>
      </c>
      <c r="R69" s="9">
        <v>2601</v>
      </c>
      <c r="S69" s="9">
        <v>5001</v>
      </c>
      <c r="T69" s="9">
        <v>9001</v>
      </c>
      <c r="U69" s="9">
        <v>23001</v>
      </c>
      <c r="V69" s="9">
        <v>50001</v>
      </c>
      <c r="W69" s="9">
        <v>90001</v>
      </c>
      <c r="X69" s="9">
        <v>130001</v>
      </c>
      <c r="Y69">
        <f>IFERROR(IF(VLOOKUP(L69,Karakterlap!$P$3:$Z$4,10,FALSE)&gt;13,165001+((VLOOKUP(L69,Karakterlap!$P$3:$Z$4,10,FALSE)-13)*50000),165001),165001)</f>
        <v>165001</v>
      </c>
      <c r="Z69" s="9">
        <v>5</v>
      </c>
      <c r="AA69" s="9">
        <v>16</v>
      </c>
      <c r="AB69" s="9">
        <v>72</v>
      </c>
      <c r="AC69" s="9">
        <v>0</v>
      </c>
      <c r="AD69" s="9">
        <f>IFERROR(VLOOKUP(L69,Karakterlap!$P$3:$Z$4,10,FALSE)*8,8)</f>
        <v>8</v>
      </c>
      <c r="AE69" s="9">
        <v>0</v>
      </c>
      <c r="AF69" s="9">
        <f>IFERROR(IF(Karakterlap!$P$5="Váltott kaszt",IF(Karakterlap!$P$3=Adattábla!$L69,Karakterlap!$Y$3*3,IF(Karakterlap!$P$4=Adattábla!$L69,(Karakterlap!$Y$4-Adattábla!$I$20)*3,3)),VLOOKUP(Adattábla!$L69,Karakterlap!$P$3:$Z$4,10,FALSE)*3),3)</f>
        <v>3</v>
      </c>
      <c r="AG69" s="9">
        <v>8</v>
      </c>
      <c r="AH69" s="9">
        <f>IF(Karakterlap!$P$5="Iker kaszt",IF(Karakterlap!$P$3=L69,IFERROR((Karakterlap!$P$6*8)+(VLOOKUP(L69,Karakterlap!$P$3:$Z$4,10,FALSE)-Karakterlap!$P$6),8),IF(Karakterlap!$P$4=L69,VLOOKUP(L69,Karakterlap!$P$3:$Z$4,10,FALSE),8)),IF(Karakterlap!$P$5="Váltott kaszt",IF(L69=Karakterlap!$P$3,(Karakterlap!$Y$3+3)*8,VLOOKUP(L69,Karakterlap!$P$3:$Z$4,10,FALSE)*8),IFERROR(VLOOKUP(L69,Karakterlap!$P$3:$Z$4,10,FALSE)*8,8)))</f>
        <v>8</v>
      </c>
      <c r="AI69" s="9">
        <v>0</v>
      </c>
      <c r="AJ69" s="9">
        <v>5</v>
      </c>
      <c r="AK69" s="9">
        <v>5</v>
      </c>
      <c r="AL69" s="9">
        <f>IFERROR(VLOOKUP(L69,Karakterlap!$P$3:$Z$4,10,FALSE)*($E$18+1),$E$18+1)</f>
        <v>7</v>
      </c>
      <c r="AM69" s="9">
        <f>IFERROR(IF(VLOOKUP(L69,Karakterlap!$P$3:$Z$4,10,FALSE)&gt;1,9+((VLOOKUP(L69,Karakterlap!$P$3:$Z$4,10,FALSE)-1)*((ROUND($E$18/2,0))+6)),9),9)</f>
        <v>9</v>
      </c>
      <c r="AN69" t="s">
        <v>92</v>
      </c>
      <c r="AO69" t="str">
        <f>IFERROR((IF(Karakterlap!$F$9&gt;10,Karakterlap!$F$9-10,0))+5+((VLOOKUP(L69,Karakterlap!$P$3:$Z$4,10,FALSE)-1)*4),"más kaszt")</f>
        <v>más kaszt</v>
      </c>
      <c r="BA69">
        <f>IFERROR(IF(Karakterlap!$P$6&gt;13,165001+((Karakterlap!$P$6-13)*50000),165001),165001)</f>
        <v>165001</v>
      </c>
      <c r="BB69" s="36">
        <f>VLOOKUP("2k6+6",$I$2:$J$11,2,FALSE)+IFERROR(VLOOKUP(Karakterlap!$V$7,$A$24:$C$33,3,FALSE),0)</f>
        <v>13</v>
      </c>
      <c r="BC69" s="36">
        <f>VLOOKUP("2k6+6",$I$2:$J$11,2,FALSE)+IFERROR(VLOOKUP(Karakterlap!$V$7,$A$24:$D$33,4,FALSE),0)</f>
        <v>13</v>
      </c>
      <c r="BD69" s="36">
        <f>VLOOKUP("3k6(2x)",$I$2:$J$11,2,FALSE)+IFERROR(VLOOKUP(Karakterlap!$V$7,$A$24:$E$33,5,FALSE),0)</f>
        <v>11</v>
      </c>
      <c r="BE69" s="36">
        <f>VLOOKUP("3k6(2x)",$I$2:$J$11,2,FALSE)+IFERROR(VLOOKUP(Karakterlap!$V$7,$A$24:$F$33,6,FALSE),0)</f>
        <v>11</v>
      </c>
      <c r="BF69" s="36">
        <f>VLOOKUP("k10+8",$I$2:$J$11,2,FALSE)+IFERROR(VLOOKUP(Karakterlap!$V$7,$A$24:$G$33,7,FALSE),0)</f>
        <v>14</v>
      </c>
      <c r="BG69" s="48">
        <f>VLOOKUP("k10+10",$I$2:$J$11,2,FALSE)+IFERROR(VLOOKUP(Karakterlap!$V$7,$A$24:$H$33,8,FALSE),0)</f>
        <v>16</v>
      </c>
      <c r="BH69" s="36">
        <f>VLOOKUP("k10+8",$I$2:$J$11,2,FALSE)+IFERROR(VLOOKUP(Karakterlap!$V$7,$A$24:$I$33,9,FALSE),0)</f>
        <v>14</v>
      </c>
      <c r="BI69" s="36">
        <f t="shared" si="2"/>
        <v>14</v>
      </c>
      <c r="BJ69" s="36">
        <f>VLOOKUP("k6+12",$I$2:$J$11,2,FALSE)+IFERROR(VLOOKUP(Karakterlap!$V$7,$A$24:$J$33,10,FALSE),0)</f>
        <v>16</v>
      </c>
      <c r="BK69" s="36">
        <f t="shared" si="3"/>
        <v>14</v>
      </c>
      <c r="BL69" s="36">
        <f>IF((SUM(Karakterlap!$F$3:$F$12)-SUM(BB69:BK69))&lt;0,0,SUM(Karakterlap!$F$3:$F$12)-SUM(BB69:BK69))</f>
        <v>0</v>
      </c>
      <c r="BM69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69&gt;18,BI69,18))&gt;0,Karakterlap!$F$10-IF(BI69&gt;18,BI69,18),0),0)+IF(Karakterlap!$F$11&gt;(18+IFERROR(VLOOKUP(Karakterlap!$V$7,$A$24:$J$33,10,FALSE),0)),(Karakterlap!$F$11-(18+IFERROR(VLOOKUP(Karakterlap!$V$7,$A$24:$J$33,10,FALSE),0))),0)+IF(Karakterlap!$F$12&gt;18,IF((Karakterlap!$F$12-IF(BK69&gt;18,BK69,18))&gt;0,Karakterlap!$F$12-IF(BK69&gt;18,BK69,18),0),0)</f>
        <v>#VALUE!</v>
      </c>
      <c r="BU69" t="s">
        <v>977</v>
      </c>
      <c r="BV69" t="s">
        <v>977</v>
      </c>
      <c r="BW69" s="5"/>
      <c r="BX69" s="97" t="s">
        <v>189</v>
      </c>
      <c r="BY69" s="97" t="s">
        <v>189</v>
      </c>
      <c r="BZ69" s="97" t="s">
        <v>187</v>
      </c>
      <c r="CA69" s="97" t="s">
        <v>187</v>
      </c>
      <c r="CB69" s="97" t="s">
        <v>190</v>
      </c>
      <c r="CC69" s="97" t="s">
        <v>193</v>
      </c>
      <c r="CD69" s="97" t="s">
        <v>190</v>
      </c>
      <c r="CE69" s="97" t="s">
        <v>190</v>
      </c>
      <c r="CF69" s="97" t="s">
        <v>192</v>
      </c>
      <c r="CG69" s="97" t="s">
        <v>190</v>
      </c>
    </row>
    <row r="70" spans="1:85" ht="16" thickBot="1" x14ac:dyDescent="0.25">
      <c r="L70" s="9" t="s">
        <v>829</v>
      </c>
      <c r="M70" s="9">
        <v>0</v>
      </c>
      <c r="N70" s="9">
        <v>161</v>
      </c>
      <c r="O70" s="9">
        <v>331</v>
      </c>
      <c r="P70" s="9">
        <v>661</v>
      </c>
      <c r="Q70" s="9">
        <v>1301</v>
      </c>
      <c r="R70" s="9">
        <v>2601</v>
      </c>
      <c r="S70" s="9">
        <v>5001</v>
      </c>
      <c r="T70" s="9">
        <v>9001</v>
      </c>
      <c r="U70" s="9">
        <v>23001</v>
      </c>
      <c r="V70" s="9">
        <v>50001</v>
      </c>
      <c r="W70" s="9">
        <v>90001</v>
      </c>
      <c r="X70" s="9">
        <v>130001</v>
      </c>
      <c r="Y70">
        <f>IFERROR(IF(VLOOKUP(L70,Karakterlap!$P$3:$Z$4,10,FALSE)&gt;13,165001+((VLOOKUP(L70,Karakterlap!$P$3:$Z$4,10,FALSE)-13)*50000),165001),165001)</f>
        <v>165001</v>
      </c>
      <c r="Z70" s="9">
        <v>5</v>
      </c>
      <c r="AA70" s="9">
        <v>16</v>
      </c>
      <c r="AB70" s="9">
        <v>72</v>
      </c>
      <c r="AC70" s="9">
        <v>0</v>
      </c>
      <c r="AD70" s="9">
        <f>IFERROR(VLOOKUP(L70,Karakterlap!$P$3:$Z$4,10,FALSE)*8,8)</f>
        <v>8</v>
      </c>
      <c r="AE70" s="9">
        <v>0</v>
      </c>
      <c r="AF70" s="9">
        <f>IFERROR(IF(Karakterlap!$P$5="Váltott kaszt",IF(Karakterlap!$P$3=Adattábla!$L70,Karakterlap!$Y$3*3,IF(Karakterlap!$P$4=Adattábla!$L70,(Karakterlap!$Y$4-Adattábla!$I$20)*3,3)),VLOOKUP(Adattábla!$L70,Karakterlap!$P$3:$Z$4,10,FALSE)*3),3)</f>
        <v>3</v>
      </c>
      <c r="AG70" s="9">
        <v>8</v>
      </c>
      <c r="AH70" s="9">
        <f>IF(Karakterlap!$P$5="Iker kaszt",IF(Karakterlap!$P$3=L70,IFERROR((Karakterlap!$P$6*8)+(VLOOKUP(L70,Karakterlap!$P$3:$Z$4,10,FALSE)-Karakterlap!$P$6),8),IF(Karakterlap!$P$4=L70,VLOOKUP(L70,Karakterlap!$P$3:$Z$4,10,FALSE),8)),IF(Karakterlap!$P$5="Váltott kaszt",IF(L70=Karakterlap!$P$3,(Karakterlap!$Y$3+3)*8,VLOOKUP(L70,Karakterlap!$P$3:$Z$4,10,FALSE)*8),IFERROR(VLOOKUP(L70,Karakterlap!$P$3:$Z$4,10,FALSE)*8,8)))</f>
        <v>8</v>
      </c>
      <c r="AI70" s="9">
        <v>0</v>
      </c>
      <c r="AJ70" s="9">
        <v>5</v>
      </c>
      <c r="AK70" s="9">
        <v>5</v>
      </c>
      <c r="AL70" s="9">
        <f>IFERROR(VLOOKUP(L70,Karakterlap!$P$3:$Z$4,10,FALSE)*($E$18+1),$E$18+1)</f>
        <v>7</v>
      </c>
      <c r="AM70" s="9">
        <f>IFERROR(IF(VLOOKUP(L70,Karakterlap!$P$3:$Z$4,10,FALSE)&gt;1,9+((VLOOKUP(L70,Karakterlap!$P$3:$Z$4,10,FALSE)-1)*((ROUND($E$18/2,0))+6)),9),9)</f>
        <v>9</v>
      </c>
      <c r="AN70" t="s">
        <v>92</v>
      </c>
      <c r="AO70" t="str">
        <f>IFERROR((IF(Karakterlap!$F$9&gt;10,Karakterlap!$F$9-10,0))+5+((VLOOKUP(L70,Karakterlap!$P$3:$Z$4,10,FALSE)-1)*4),"más kaszt")</f>
        <v>más kaszt</v>
      </c>
      <c r="AT70" s="14">
        <v>15</v>
      </c>
      <c r="BA70">
        <f>IFERROR(IF(Karakterlap!$P$6&gt;13,165001+((Karakterlap!$P$6-13)*50000),165001),165001)</f>
        <v>165001</v>
      </c>
      <c r="BB70" s="36">
        <f>VLOOKUP("2k6+6",$I$2:$J$11,2,FALSE)+IFERROR(VLOOKUP(Karakterlap!$V$7,$A$24:$C$33,3,FALSE),0)</f>
        <v>13</v>
      </c>
      <c r="BC70" s="36">
        <f>VLOOKUP("2k6+6",$I$2:$J$11,2,FALSE)+IFERROR(VLOOKUP(Karakterlap!$V$7,$A$24:$D$33,4,FALSE),0)</f>
        <v>13</v>
      </c>
      <c r="BD70" s="36">
        <f>VLOOKUP("3k6(2x)",$I$2:$J$11,2,FALSE)+IFERROR(VLOOKUP(Karakterlap!$V$7,$A$24:$E$33,5,FALSE),0)</f>
        <v>11</v>
      </c>
      <c r="BE70" s="36">
        <f>VLOOKUP("3k6(2x)",$I$2:$J$11,2,FALSE)+IFERROR(VLOOKUP(Karakterlap!$V$7,$A$24:$F$33,6,FALSE),0)</f>
        <v>11</v>
      </c>
      <c r="BF70" s="36">
        <f>VLOOKUP("k10+8",$I$2:$J$11,2,FALSE)+IFERROR(VLOOKUP(Karakterlap!$V$7,$A$24:$G$33,7,FALSE),0)</f>
        <v>14</v>
      </c>
      <c r="BG70" s="48">
        <f>VLOOKUP("k10+10",$I$2:$J$11,2,FALSE)+IFERROR(VLOOKUP(Karakterlap!$V$7,$A$24:$H$33,8,FALSE),0)</f>
        <v>16</v>
      </c>
      <c r="BH70" s="36">
        <f>VLOOKUP("k10+8",$I$2:$J$11,2,FALSE)+IFERROR(VLOOKUP(Karakterlap!$V$7,$A$24:$I$33,9,FALSE),0)</f>
        <v>14</v>
      </c>
      <c r="BI70" s="36">
        <f t="shared" si="2"/>
        <v>14</v>
      </c>
      <c r="BJ70" s="36">
        <f>VLOOKUP("k6+12",$I$2:$J$11,2,FALSE)+IFERROR(VLOOKUP(Karakterlap!$V$7,$A$24:$J$33,10,FALSE),0)</f>
        <v>16</v>
      </c>
      <c r="BK70" s="36">
        <f t="shared" si="3"/>
        <v>14</v>
      </c>
      <c r="BL70" s="36">
        <f>IF((SUM(Karakterlap!$F$3:$F$12)-SUM(BB70:BK70))&lt;0,0,SUM(Karakterlap!$F$3:$F$12)-SUM(BB70:BK70))</f>
        <v>0</v>
      </c>
      <c r="BM70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70&gt;18,BI70,18))&gt;0,Karakterlap!$F$10-IF(BI70&gt;18,BI70,18),0),0)+IF(Karakterlap!$F$11&gt;(18+IFERROR(VLOOKUP(Karakterlap!$V$7,$A$24:$J$33,10,FALSE),0)),(Karakterlap!$F$11-(18+IFERROR(VLOOKUP(Karakterlap!$V$7,$A$24:$J$33,10,FALSE),0))),0)+IF(Karakterlap!$F$12&gt;18,IF((Karakterlap!$F$12-IF(BK70&gt;18,BK70,18))&gt;0,Karakterlap!$F$12-IF(BK70&gt;18,BK70,18),0),0)</f>
        <v>#VALUE!</v>
      </c>
      <c r="BU70" t="s">
        <v>977</v>
      </c>
      <c r="BV70" t="s">
        <v>977</v>
      </c>
      <c r="BW70" s="5"/>
      <c r="BX70" s="97" t="s">
        <v>189</v>
      </c>
      <c r="BY70" s="97" t="s">
        <v>189</v>
      </c>
      <c r="BZ70" s="97" t="s">
        <v>187</v>
      </c>
      <c r="CA70" s="97" t="s">
        <v>187</v>
      </c>
      <c r="CB70" s="97" t="s">
        <v>190</v>
      </c>
      <c r="CC70" s="97" t="s">
        <v>193</v>
      </c>
      <c r="CD70" s="97" t="s">
        <v>190</v>
      </c>
      <c r="CE70" s="97" t="s">
        <v>190</v>
      </c>
      <c r="CF70" s="97" t="s">
        <v>192</v>
      </c>
      <c r="CG70" s="97" t="s">
        <v>190</v>
      </c>
    </row>
    <row r="71" spans="1:85" x14ac:dyDescent="0.2">
      <c r="A71" s="103" t="s">
        <v>978</v>
      </c>
      <c r="B71" s="104" t="s">
        <v>172</v>
      </c>
      <c r="C71" s="115" t="s">
        <v>163</v>
      </c>
      <c r="D71" s="115" t="s">
        <v>166</v>
      </c>
      <c r="E71" s="115" t="s">
        <v>164</v>
      </c>
      <c r="F71" s="115" t="s">
        <v>165</v>
      </c>
      <c r="G71" s="115" t="s">
        <v>167</v>
      </c>
      <c r="H71" s="115" t="s">
        <v>168</v>
      </c>
      <c r="I71" s="115" t="s">
        <v>169</v>
      </c>
      <c r="J71" s="115" t="s">
        <v>171</v>
      </c>
      <c r="K71" s="116" t="s">
        <v>170</v>
      </c>
      <c r="L71" s="9" t="s">
        <v>832</v>
      </c>
      <c r="M71" s="9">
        <v>0</v>
      </c>
      <c r="N71" s="9">
        <v>161</v>
      </c>
      <c r="O71" s="9">
        <v>331</v>
      </c>
      <c r="P71" s="9">
        <v>661</v>
      </c>
      <c r="Q71" s="9">
        <v>1301</v>
      </c>
      <c r="R71" s="9">
        <v>2601</v>
      </c>
      <c r="S71" s="9">
        <v>5001</v>
      </c>
      <c r="T71" s="9">
        <v>9001</v>
      </c>
      <c r="U71" s="9">
        <v>23001</v>
      </c>
      <c r="V71" s="9">
        <v>50001</v>
      </c>
      <c r="W71" s="9">
        <v>90001</v>
      </c>
      <c r="X71" s="9">
        <v>130001</v>
      </c>
      <c r="Y71">
        <f>IFERROR(IF(VLOOKUP(L71,Karakterlap!$P$3:$Z$4,10,FALSE)&gt;13,165001+((VLOOKUP(L71,Karakterlap!$P$3:$Z$4,10,FALSE)-13)*50000),165001),165001)</f>
        <v>165001</v>
      </c>
      <c r="Z71" s="9">
        <v>5</v>
      </c>
      <c r="AA71" s="9">
        <v>17</v>
      </c>
      <c r="AB71" s="9">
        <v>72</v>
      </c>
      <c r="AC71" s="9">
        <v>0</v>
      </c>
      <c r="AD71" s="9">
        <f>IFERROR(VLOOKUP(L71,Karakterlap!$P$3:$Z$4,10,FALSE)*8,8)</f>
        <v>8</v>
      </c>
      <c r="AE71" s="9">
        <f>IFERROR(IF(Karakterlap!$P$5="Váltott kaszt",IF(Karakterlap!$P$3=Adattábla!$L71,Karakterlap!$Y$3*3,IF(Karakterlap!$P$4=Adattábla!$L71,(Karakterlap!$Y$4-Adattábla!$I$20)*3,3)),VLOOKUP(Adattábla!$L71,Karakterlap!$P$3:$Z$4,10,FALSE)*3),3)</f>
        <v>3</v>
      </c>
      <c r="AF71" s="9">
        <f>IFERROR(IF(Karakterlap!$P$5="Váltott kaszt",IF(Karakterlap!$P$3=Adattábla!$L71,Karakterlap!$Y$3*3,IF(Karakterlap!$P$4=Adattábla!$L71,(Karakterlap!$Y$4-Adattábla!$I$20)*3,3)),VLOOKUP(Adattábla!$L71,Karakterlap!$P$3:$Z$4,10,FALSE)*3),3)</f>
        <v>3</v>
      </c>
      <c r="AG71" s="9">
        <v>4</v>
      </c>
      <c r="AH71" s="9">
        <f>IF(Karakterlap!$P$5="Iker kaszt",IF(Karakterlap!$P$3=L71,IFERROR((Karakterlap!$P$6*5)+(VLOOKUP(L71,Karakterlap!$P$3:$Z$4,10,FALSE)-Karakterlap!$P$6),5),IF(Karakterlap!$P$4=L71,VLOOKUP(L71,Karakterlap!$P$3:$Z$4,10,FALSE),5)),IF(Karakterlap!$P$5="Váltott kaszt",IF(L71=Karakterlap!$P$3,(Karakterlap!$Y$3+3)*5,VLOOKUP(L71,Karakterlap!$P$3:$Z$4,10,FALSE)*5),IFERROR(VLOOKUP(L71,Karakterlap!$P$3:$Z$4,10,FALSE)*5,5)))</f>
        <v>5</v>
      </c>
      <c r="AI71" s="9">
        <v>0</v>
      </c>
      <c r="AJ71" s="9">
        <v>6</v>
      </c>
      <c r="AK71" s="9">
        <v>6</v>
      </c>
      <c r="AL71" s="9">
        <f>IFERROR(VLOOKUP(L71,Karakterlap!$P$3:$Z$4,10,FALSE)*($E$18+2),$E$18+2)</f>
        <v>8</v>
      </c>
      <c r="AM71" s="9">
        <f>IFERROR(IF(VLOOKUP(L71,Karakterlap!$P$3:$Z$4,10,FALSE)&gt;1,9+((VLOOKUP(L71,Karakterlap!$P$3:$Z$4,10,FALSE)-1)*((ROUND($E$18/2,0))+6)),9),9)</f>
        <v>9</v>
      </c>
      <c r="AN71" t="s">
        <v>92</v>
      </c>
      <c r="AO71" t="str">
        <f>IFERROR((IF(Karakterlap!$F$9&gt;10,Karakterlap!$F$9-10,0))+5+((VLOOKUP(L71,Karakterlap!$P$3:$Z$4,10,FALSE)-1)*4),"más kaszt")</f>
        <v>más kaszt</v>
      </c>
      <c r="BA71">
        <f>IFERROR(IF(Karakterlap!$P$6&gt;13,165001+((Karakterlap!$P$6-13)*50000),165001),165001)</f>
        <v>165001</v>
      </c>
      <c r="BB71" s="36">
        <f>VLOOKUP("2k6+6",$I$2:$J$11,2,FALSE)+IFERROR(VLOOKUP(Karakterlap!$V$7,$A$24:$C$33,3,FALSE),0)</f>
        <v>13</v>
      </c>
      <c r="BC71" s="36">
        <f>VLOOKUP("2k6+6",$I$2:$J$11,2,FALSE)+IFERROR(VLOOKUP(Karakterlap!$V$7,$A$24:$D$33,4,FALSE),0)</f>
        <v>13</v>
      </c>
      <c r="BD71" s="36">
        <f>VLOOKUP("3k6(2x)",$I$2:$J$11,2,FALSE)+IFERROR(VLOOKUP(Karakterlap!$V$7,$A$24:$E$33,5,FALSE),0)</f>
        <v>11</v>
      </c>
      <c r="BE71" s="36">
        <f>VLOOKUP("3k6(2x)",$I$2:$J$11,2,FALSE)+IFERROR(VLOOKUP(Karakterlap!$V$7,$A$24:$F$33,6,FALSE),0)</f>
        <v>11</v>
      </c>
      <c r="BF71" s="36">
        <f>VLOOKUP("k10+8",$I$2:$J$11,2,FALSE)+IFERROR(VLOOKUP(Karakterlap!$V$7,$A$24:$G$33,7,FALSE),0)</f>
        <v>14</v>
      </c>
      <c r="BG71" s="48">
        <f>VLOOKUP("k10+10",$I$2:$J$11,2,FALSE)+IFERROR(VLOOKUP(Karakterlap!$V$7,$A$24:$H$33,8,FALSE),0)</f>
        <v>16</v>
      </c>
      <c r="BH71" s="36">
        <f>VLOOKUP("k10+8",$I$2:$J$11,2,FALSE)+IFERROR(VLOOKUP(Karakterlap!$V$7,$A$24:$I$33,9,FALSE),0)</f>
        <v>14</v>
      </c>
      <c r="BI71" s="36">
        <f t="shared" si="2"/>
        <v>14</v>
      </c>
      <c r="BJ71" s="36">
        <f>VLOOKUP("k6+12",$I$2:$J$11,2,FALSE)+IFERROR(VLOOKUP(Karakterlap!$V$7,$A$24:$J$33,10,FALSE),0)</f>
        <v>16</v>
      </c>
      <c r="BK71" s="36">
        <f t="shared" si="3"/>
        <v>14</v>
      </c>
      <c r="BL71" s="36">
        <f>IF((SUM(Karakterlap!$F$3:$F$12)-SUM(BB71:BK71))&lt;0,0,SUM(Karakterlap!$F$3:$F$12)-SUM(BB71:BK71))</f>
        <v>0</v>
      </c>
      <c r="BM71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71&gt;18,BI71,18))&gt;0,Karakterlap!$F$10-IF(BI71&gt;18,BI71,18),0),0)+IF(Karakterlap!$F$11&gt;(18+IFERROR(VLOOKUP(Karakterlap!$V$7,$A$24:$J$33,10,FALSE),0)),(Karakterlap!$F$11-(18+IFERROR(VLOOKUP(Karakterlap!$V$7,$A$24:$J$33,10,FALSE),0))),0)+IF(Karakterlap!$F$12&gt;18,IF((Karakterlap!$F$12-IF(BK71&gt;18,BK71,18))&gt;0,Karakterlap!$F$12-IF(BK71&gt;18,BK71,18),0),0)</f>
        <v>#VALUE!</v>
      </c>
      <c r="BU71" t="s">
        <v>977</v>
      </c>
      <c r="BV71" t="s">
        <v>977</v>
      </c>
      <c r="BW71" s="5"/>
      <c r="BX71" s="97" t="s">
        <v>189</v>
      </c>
      <c r="BY71" s="97" t="s">
        <v>189</v>
      </c>
      <c r="BZ71" s="97" t="s">
        <v>187</v>
      </c>
      <c r="CA71" s="97" t="s">
        <v>187</v>
      </c>
      <c r="CB71" s="97" t="s">
        <v>190</v>
      </c>
      <c r="CC71" s="97" t="s">
        <v>193</v>
      </c>
      <c r="CD71" s="97" t="s">
        <v>190</v>
      </c>
      <c r="CE71" s="97" t="s">
        <v>190</v>
      </c>
      <c r="CF71" s="97" t="s">
        <v>192</v>
      </c>
      <c r="CG71" s="97" t="s">
        <v>190</v>
      </c>
    </row>
    <row r="72" spans="1:85" x14ac:dyDescent="0.2">
      <c r="A72" s="107" t="s">
        <v>34</v>
      </c>
      <c r="B72" s="99">
        <v>20</v>
      </c>
      <c r="C72" s="98">
        <v>20</v>
      </c>
      <c r="D72" s="98">
        <v>20</v>
      </c>
      <c r="E72" s="98">
        <v>20</v>
      </c>
      <c r="F72" s="98">
        <v>20</v>
      </c>
      <c r="G72" s="98">
        <v>20</v>
      </c>
      <c r="H72" s="98">
        <v>20</v>
      </c>
      <c r="I72" s="98">
        <v>20</v>
      </c>
      <c r="J72" s="98">
        <v>20</v>
      </c>
      <c r="K72" s="108">
        <v>20</v>
      </c>
      <c r="L72" s="9" t="s">
        <v>833</v>
      </c>
      <c r="M72" s="9">
        <v>0</v>
      </c>
      <c r="N72" s="9">
        <v>161</v>
      </c>
      <c r="O72" s="9">
        <v>331</v>
      </c>
      <c r="P72" s="9">
        <v>661</v>
      </c>
      <c r="Q72" s="9">
        <v>1301</v>
      </c>
      <c r="R72" s="9">
        <v>2601</v>
      </c>
      <c r="S72" s="9">
        <v>5001</v>
      </c>
      <c r="T72" s="9">
        <v>9001</v>
      </c>
      <c r="U72" s="9">
        <v>23001</v>
      </c>
      <c r="V72" s="9">
        <v>50001</v>
      </c>
      <c r="W72" s="9">
        <v>90001</v>
      </c>
      <c r="X72" s="9">
        <v>130001</v>
      </c>
      <c r="Y72">
        <f>IFERROR(IF(VLOOKUP(L72,Karakterlap!$P$3:$Z$4,10,FALSE)&gt;13,165001+((VLOOKUP(L72,Karakterlap!$P$3:$Z$4,10,FALSE)-13)*50000),165001),165001)</f>
        <v>165001</v>
      </c>
      <c r="Z72" s="9">
        <v>5</v>
      </c>
      <c r="AA72" s="9">
        <v>17</v>
      </c>
      <c r="AB72" s="9">
        <v>72</v>
      </c>
      <c r="AC72" s="9">
        <v>0</v>
      </c>
      <c r="AD72" s="9">
        <f>IFERROR(VLOOKUP(L72,Karakterlap!$P$3:$Z$4,10,FALSE)*8,8)</f>
        <v>8</v>
      </c>
      <c r="AE72" s="9">
        <f>IFERROR(IF(Karakterlap!$P$5="Váltott kaszt",IF(Karakterlap!$P$3=Adattábla!$L72,Karakterlap!$Y$3*3,IF(Karakterlap!$P$4=Adattábla!$L72,(Karakterlap!$Y$4-Adattábla!$I$20)*3,3)),VLOOKUP(Adattábla!$L72,Karakterlap!$P$3:$Z$4,10,FALSE)*3),3)</f>
        <v>3</v>
      </c>
      <c r="AF72" s="9">
        <f>IFERROR(IF(Karakterlap!$P$5="Váltott kaszt",IF(Karakterlap!$P$3=Adattábla!$L72,Karakterlap!$Y$3*3,IF(Karakterlap!$P$4=Adattábla!$L72,(Karakterlap!$Y$4-Adattábla!$I$20)*3,3)),VLOOKUP(Adattábla!$L72,Karakterlap!$P$3:$Z$4,10,FALSE)*3),3)</f>
        <v>3</v>
      </c>
      <c r="AG72" s="9">
        <v>4</v>
      </c>
      <c r="AH72" s="9">
        <f>IF(Karakterlap!$P$5="Iker kaszt",IF(Karakterlap!$P$3=L72,IFERROR((Karakterlap!$P$6*9)+(VLOOKUP(L72,Karakterlap!$P$3:$Z$4,10,FALSE)-Karakterlap!$P$6),9),IF(Karakterlap!$P$4=L72,VLOOKUP(L72,Karakterlap!$P$3:$Z$4,10,FALSE),9)),IF(Karakterlap!$P$5="Váltott kaszt",IF(L72=Karakterlap!$P$3,(Karakterlap!$Y$3+3)*9,VLOOKUP(L72,Karakterlap!$P$3:$Z$4,10,FALSE)*9),IFERROR(VLOOKUP(L72,Karakterlap!$P$3:$Z$4,10,FALSE)*9,9)))</f>
        <v>9</v>
      </c>
      <c r="AI72" s="9">
        <v>0</v>
      </c>
      <c r="AJ72" s="9">
        <v>6</v>
      </c>
      <c r="AK72" s="9">
        <v>6</v>
      </c>
      <c r="AL72" s="9">
        <f>IFERROR(VLOOKUP(L72,Karakterlap!$P$3:$Z$4,10,FALSE)*($E$18+2),$E$18+2)</f>
        <v>8</v>
      </c>
      <c r="AM72" s="9">
        <f>IFERROR(IF(VLOOKUP(L72,Karakterlap!$P$3:$Z$4,10,FALSE)&gt;1,9+((VLOOKUP(L72,Karakterlap!$P$3:$Z$4,10,FALSE)-1)*((ROUND($E$18/2,0))+6)),9),9)</f>
        <v>9</v>
      </c>
      <c r="AN72" t="s">
        <v>92</v>
      </c>
      <c r="AO72" t="str">
        <f>IFERROR((IF(Karakterlap!$F$9&gt;10,Karakterlap!$F$9-10,0))+5+((VLOOKUP(L72,Karakterlap!$P$3:$Z$4,10,FALSE)-1)*4),"más kaszt")</f>
        <v>más kaszt</v>
      </c>
      <c r="BA72">
        <f>IFERROR(IF(Karakterlap!$P$6&gt;13,165001+((Karakterlap!$P$6-13)*50000),165001),165001)</f>
        <v>165001</v>
      </c>
      <c r="BB72" s="36">
        <f>VLOOKUP("2k6+6",$I$2:$J$11,2,FALSE)+IFERROR(VLOOKUP(Karakterlap!$V$7,$A$24:$C$33,3,FALSE),0)</f>
        <v>13</v>
      </c>
      <c r="BC72" s="36">
        <f>VLOOKUP("2k6+6",$I$2:$J$11,2,FALSE)+IFERROR(VLOOKUP(Karakterlap!$V$7,$A$24:$D$33,4,FALSE),0)</f>
        <v>13</v>
      </c>
      <c r="BD72" s="36">
        <f>VLOOKUP("3k6(2x)",$I$2:$J$11,2,FALSE)+IFERROR(VLOOKUP(Karakterlap!$V$7,$A$24:$E$33,5,FALSE),0)</f>
        <v>11</v>
      </c>
      <c r="BE72" s="36">
        <f>VLOOKUP("3k6(2x)",$I$2:$J$11,2,FALSE)+IFERROR(VLOOKUP(Karakterlap!$V$7,$A$24:$F$33,6,FALSE),0)</f>
        <v>11</v>
      </c>
      <c r="BF72" s="36">
        <f>VLOOKUP("k10+8",$I$2:$J$11,2,FALSE)+IFERROR(VLOOKUP(Karakterlap!$V$7,$A$24:$G$33,7,FALSE),0)</f>
        <v>14</v>
      </c>
      <c r="BG72" s="48">
        <f>VLOOKUP("k10+10",$I$2:$J$11,2,FALSE)+IFERROR(VLOOKUP(Karakterlap!$V$7,$A$24:$H$33,8,FALSE),0)</f>
        <v>16</v>
      </c>
      <c r="BH72" s="36">
        <f>VLOOKUP("k10+8",$I$2:$J$11,2,FALSE)+IFERROR(VLOOKUP(Karakterlap!$V$7,$A$24:$I$33,9,FALSE),0)</f>
        <v>14</v>
      </c>
      <c r="BI72" s="36">
        <f t="shared" si="2"/>
        <v>14</v>
      </c>
      <c r="BJ72" s="36">
        <f>VLOOKUP("k6+12",$I$2:$J$11,2,FALSE)+IFERROR(VLOOKUP(Karakterlap!$V$7,$A$24:$J$33,10,FALSE),0)</f>
        <v>16</v>
      </c>
      <c r="BK72" s="36">
        <f t="shared" si="3"/>
        <v>14</v>
      </c>
      <c r="BL72" s="36">
        <f>IF((SUM(Karakterlap!$F$3:$F$12)-SUM(BB72:BK72))&lt;0,0,SUM(Karakterlap!$F$3:$F$12)-SUM(BB72:BK72))</f>
        <v>0</v>
      </c>
      <c r="BM72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72&gt;18,BI72,18))&gt;0,Karakterlap!$F$10-IF(BI72&gt;18,BI72,18),0),0)+IF(Karakterlap!$F$11&gt;(18+IFERROR(VLOOKUP(Karakterlap!$V$7,$A$24:$J$33,10,FALSE),0)),(Karakterlap!$F$11-(18+IFERROR(VLOOKUP(Karakterlap!$V$7,$A$24:$J$33,10,FALSE),0))),0)+IF(Karakterlap!$F$12&gt;18,IF((Karakterlap!$F$12-IF(BK72&gt;18,BK72,18))&gt;0,Karakterlap!$F$12-IF(BK72&gt;18,BK72,18),0),0)</f>
        <v>#VALUE!</v>
      </c>
      <c r="BU72" t="s">
        <v>977</v>
      </c>
      <c r="BV72" t="s">
        <v>977</v>
      </c>
      <c r="BW72" s="5"/>
      <c r="BX72" s="97" t="s">
        <v>189</v>
      </c>
      <c r="BY72" s="97" t="s">
        <v>189</v>
      </c>
      <c r="BZ72" s="97" t="s">
        <v>187</v>
      </c>
      <c r="CA72" s="97" t="s">
        <v>187</v>
      </c>
      <c r="CB72" s="97" t="s">
        <v>190</v>
      </c>
      <c r="CC72" s="97" t="s">
        <v>193</v>
      </c>
      <c r="CD72" s="97" t="s">
        <v>190</v>
      </c>
      <c r="CE72" s="97" t="s">
        <v>190</v>
      </c>
      <c r="CF72" s="97" t="s">
        <v>192</v>
      </c>
      <c r="CG72" s="97" t="s">
        <v>190</v>
      </c>
    </row>
    <row r="73" spans="1:85" x14ac:dyDescent="0.2">
      <c r="A73" s="107" t="s">
        <v>35</v>
      </c>
      <c r="B73" s="99">
        <v>20</v>
      </c>
      <c r="C73" s="98">
        <v>20</v>
      </c>
      <c r="D73" s="98">
        <v>20</v>
      </c>
      <c r="E73" s="98">
        <v>21</v>
      </c>
      <c r="F73" s="98">
        <v>20</v>
      </c>
      <c r="G73" s="98">
        <v>20</v>
      </c>
      <c r="H73" s="98">
        <v>20</v>
      </c>
      <c r="I73" s="98">
        <v>20</v>
      </c>
      <c r="J73" s="98">
        <v>20</v>
      </c>
      <c r="K73" s="108">
        <v>20</v>
      </c>
      <c r="L73" s="9" t="s">
        <v>840</v>
      </c>
      <c r="M73" s="9">
        <v>0</v>
      </c>
      <c r="N73" s="9">
        <v>161</v>
      </c>
      <c r="O73" s="9">
        <v>331</v>
      </c>
      <c r="P73" s="9">
        <v>661</v>
      </c>
      <c r="Q73" s="9">
        <v>1301</v>
      </c>
      <c r="R73" s="9">
        <v>2601</v>
      </c>
      <c r="S73" s="9">
        <v>5001</v>
      </c>
      <c r="T73" s="9">
        <v>9001</v>
      </c>
      <c r="U73" s="9">
        <v>23001</v>
      </c>
      <c r="V73" s="9">
        <v>50001</v>
      </c>
      <c r="W73" s="9">
        <v>90001</v>
      </c>
      <c r="X73" s="9">
        <v>130001</v>
      </c>
      <c r="Y73" s="9">
        <f>IFERROR(IF(VLOOKUP(L73,Karakterlap!$P$3:$Z$4,10,FALSE)&gt;13,165001+((VLOOKUP(L73,Karakterlap!$P$3:$Z$4,10,FALSE)-13)*50000),165001),165001)</f>
        <v>165001</v>
      </c>
      <c r="Z73" s="9">
        <v>5</v>
      </c>
      <c r="AA73" s="9">
        <v>17</v>
      </c>
      <c r="AB73" s="9">
        <v>72</v>
      </c>
      <c r="AC73" s="9">
        <v>0</v>
      </c>
      <c r="AD73" s="9">
        <f>IFERROR(VLOOKUP(L73,Karakterlap!$P$3:$Z$4,10,FALSE)*8,8)</f>
        <v>8</v>
      </c>
      <c r="AE73" s="9">
        <f>IFERROR(IF(Karakterlap!$P$5="Váltott kaszt",IF(Karakterlap!$P$3=Adattábla!$L73,Karakterlap!$Y$3*3,IF(Karakterlap!$P$4=Adattábla!$L73,(Karakterlap!$Y$4-Adattábla!$I$20)*3,3)),VLOOKUP(Adattábla!$L73,Karakterlap!$P$3:$Z$4,10,FALSE)*3),3)</f>
        <v>3</v>
      </c>
      <c r="AF73" s="9">
        <f>IFERROR(IF(Karakterlap!$P$5="Váltott kaszt",IF(Karakterlap!$P$3=Adattábla!$L73,Karakterlap!$Y$3*3,IF(Karakterlap!$P$4=Adattábla!$L73,(Karakterlap!$Y$4-Adattábla!$I$20)*3,3)),VLOOKUP(Adattábla!$L73,Karakterlap!$P$3:$Z$4,10,FALSE)*3),3)</f>
        <v>3</v>
      </c>
      <c r="AG73" s="9">
        <v>6</v>
      </c>
      <c r="AH73" s="9">
        <f>IF(Karakterlap!$P$5="Iker kaszt",IF(Karakterlap!$P$3=L73,IFERROR((Karakterlap!$P$6*10)+(VLOOKUP(L73,Karakterlap!$P$3:$Z$4,10,FALSE)-Karakterlap!$P$6),10),IF(Karakterlap!$P$4=L73,VLOOKUP(L73,Karakterlap!$P$3:$Z$4,10,FALSE),10)),IF(Karakterlap!$P$5="Váltott kaszt",IF(L73=Karakterlap!$P$3,(Karakterlap!$Y$3+3)*10,VLOOKUP(L73,Karakterlap!$P$3:$Z$4,10,FALSE)*10),IFERROR(VLOOKUP(L73,Karakterlap!$P$3:$Z$4,10,FALSE)*10,10)))</f>
        <v>10</v>
      </c>
      <c r="AI73" s="9">
        <v>0</v>
      </c>
      <c r="AJ73" s="9">
        <v>3</v>
      </c>
      <c r="AK73" s="9">
        <v>7</v>
      </c>
      <c r="AL73" s="9">
        <f>IFERROR(VLOOKUP(L73,Karakterlap!$P$3:$Z$4,10,FALSE)*($E$18+3),$E$18+3)</f>
        <v>9</v>
      </c>
      <c r="AM73" s="9">
        <f>IFERROR(IF(VLOOKUP(L73,Karakterlap!$P$3:$Z$4,10,FALSE)&gt;1,9+((VLOOKUP(L73,Karakterlap!$P$3:$Z$4,10,FALSE)-1)*((ROUND($E$18/2,0))+6)),9),9)</f>
        <v>9</v>
      </c>
      <c r="AN73" s="9" t="s">
        <v>92</v>
      </c>
      <c r="AO73" s="9" t="str">
        <f>IFERROR((IF(Karakterlap!$F$9&gt;10,Karakterlap!$F$9-10,0))+5+((VLOOKUP(L73,Karakterlap!$P$3:$Z$4,10,FALSE)-1)*4),"más kaszt")</f>
        <v>más kaszt</v>
      </c>
      <c r="AP73" s="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9">
        <f>IFERROR(IF(Karakterlap!$P$6&gt;13,165001+((Karakterlap!$P$6-13)*50000),165001),165001)</f>
        <v>165001</v>
      </c>
      <c r="BB73" s="36">
        <f>VLOOKUP("2k6+6",$I$2:$J$11,2,FALSE)+IFERROR(VLOOKUP(Karakterlap!$V$7,$A$24:$C$33,3,FALSE),0)</f>
        <v>13</v>
      </c>
      <c r="BC73" s="36">
        <f>VLOOKUP("2k6+6",$I$2:$J$11,2,FALSE)+IFERROR(VLOOKUP(Karakterlap!$V$7,$A$24:$D$33,4,FALSE),0)</f>
        <v>13</v>
      </c>
      <c r="BD73" s="36">
        <f>VLOOKUP("3k6(2x)",$I$2:$J$11,2,FALSE)+IFERROR(VLOOKUP(Karakterlap!$V$7,$A$24:$E$33,5,FALSE),0)</f>
        <v>11</v>
      </c>
      <c r="BE73" s="36">
        <f>VLOOKUP("3k6(2x)",$I$2:$J$11,2,FALSE)+IFERROR(VLOOKUP(Karakterlap!$V$7,$A$24:$F$33,6,FALSE),0)</f>
        <v>11</v>
      </c>
      <c r="BF73" s="36">
        <f>VLOOKUP("k10+8",$I$2:$J$11,2,FALSE)+IFERROR(VLOOKUP(Karakterlap!$V$7,$A$24:$G$33,7,FALSE),0)</f>
        <v>14</v>
      </c>
      <c r="BG73" s="48">
        <f>VLOOKUP("k10+10",$I$2:$J$11,2,FALSE)+IFERROR(VLOOKUP(Karakterlap!$V$7,$A$24:$H$33,8,FALSE),0)</f>
        <v>16</v>
      </c>
      <c r="BH73" s="36">
        <f>VLOOKUP("k10+8",$I$2:$J$11,2,FALSE)+IFERROR(VLOOKUP(Karakterlap!$V$7,$A$24:$I$33,9,FALSE),0)</f>
        <v>14</v>
      </c>
      <c r="BI73" s="36">
        <f t="shared" si="2"/>
        <v>14</v>
      </c>
      <c r="BJ73" s="36">
        <f>VLOOKUP("k6+12",$I$2:$J$11,2,FALSE)+IFERROR(VLOOKUP(Karakterlap!$V$7,$A$24:$J$33,10,FALSE),0)</f>
        <v>16</v>
      </c>
      <c r="BK73" s="36">
        <f t="shared" si="3"/>
        <v>14</v>
      </c>
      <c r="BL73" s="36">
        <f>IF((SUM(Karakterlap!$F$3:$F$12)-SUM(BB73:BK73))&lt;0,0,SUM(Karakterlap!$F$3:$F$12)-SUM(BB73:BK73))</f>
        <v>0</v>
      </c>
      <c r="BM73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73&gt;18,BI73,18))&gt;0,Karakterlap!$F$10-IF(BI73&gt;18,BI73,18),0),0)+IF(Karakterlap!$F$11&gt;(18+IFERROR(VLOOKUP(Karakterlap!$V$7,$A$24:$J$33,10,FALSE),0)),(Karakterlap!$F$11-(18+IFERROR(VLOOKUP(Karakterlap!$V$7,$A$24:$J$33,10,FALSE),0))),0)+IF(Karakterlap!$F$12&gt;18,IF((Karakterlap!$F$12-IF(BK73&gt;18,BK73,18))&gt;0,Karakterlap!$F$12-IF(BK73&gt;18,BK73,18),0),0)</f>
        <v>#VALUE!</v>
      </c>
      <c r="BT73" t="s">
        <v>977</v>
      </c>
      <c r="BV73" t="s">
        <v>977</v>
      </c>
      <c r="BW73" s="5"/>
      <c r="BX73" s="97" t="s">
        <v>189</v>
      </c>
      <c r="BY73" s="97" t="s">
        <v>189</v>
      </c>
      <c r="BZ73" s="97" t="s">
        <v>187</v>
      </c>
      <c r="CA73" s="97" t="s">
        <v>187</v>
      </c>
      <c r="CB73" s="97" t="s">
        <v>190</v>
      </c>
      <c r="CC73" s="97" t="s">
        <v>193</v>
      </c>
      <c r="CD73" s="97" t="s">
        <v>190</v>
      </c>
      <c r="CE73" s="97" t="s">
        <v>190</v>
      </c>
      <c r="CF73" s="97" t="s">
        <v>192</v>
      </c>
      <c r="CG73" s="97" t="s">
        <v>190</v>
      </c>
    </row>
    <row r="74" spans="1:85" x14ac:dyDescent="0.2">
      <c r="A74" s="107" t="s">
        <v>37</v>
      </c>
      <c r="B74" s="99">
        <v>20</v>
      </c>
      <c r="C74" s="98">
        <v>22</v>
      </c>
      <c r="D74" s="98">
        <v>21</v>
      </c>
      <c r="E74" s="98">
        <v>20</v>
      </c>
      <c r="F74" s="101">
        <v>20</v>
      </c>
      <c r="G74" s="101">
        <v>22</v>
      </c>
      <c r="H74" s="101">
        <v>13</v>
      </c>
      <c r="I74" s="101">
        <v>16</v>
      </c>
      <c r="J74" s="98">
        <v>13</v>
      </c>
      <c r="K74" s="108">
        <v>20</v>
      </c>
      <c r="L74" s="9" t="s">
        <v>834</v>
      </c>
      <c r="M74" s="9">
        <v>0</v>
      </c>
      <c r="N74" s="9">
        <v>161</v>
      </c>
      <c r="O74" s="9">
        <v>331</v>
      </c>
      <c r="P74" s="9">
        <v>661</v>
      </c>
      <c r="Q74" s="9">
        <v>1301</v>
      </c>
      <c r="R74" s="9">
        <v>2601</v>
      </c>
      <c r="S74" s="9">
        <v>5001</v>
      </c>
      <c r="T74" s="9">
        <v>9001</v>
      </c>
      <c r="U74" s="9">
        <v>23001</v>
      </c>
      <c r="V74" s="9">
        <v>50001</v>
      </c>
      <c r="W74" s="9">
        <v>90001</v>
      </c>
      <c r="X74" s="9">
        <v>130001</v>
      </c>
      <c r="Y74" s="9">
        <f>IFERROR(IF(VLOOKUP(L74,Karakterlap!$P$3:$Z$4,10,FALSE)&gt;13,165001+((VLOOKUP(L74,Karakterlap!$P$3:$Z$4,10,FALSE)-13)*50000),165001),165001)</f>
        <v>165001</v>
      </c>
      <c r="Z74" s="9">
        <v>5</v>
      </c>
      <c r="AA74" s="9">
        <v>17</v>
      </c>
      <c r="AB74" s="9">
        <v>72</v>
      </c>
      <c r="AC74" s="9">
        <v>0</v>
      </c>
      <c r="AD74" s="9">
        <f>IFERROR(VLOOKUP(L74,Karakterlap!$P$3:$Z$4,10,FALSE)*8,8)</f>
        <v>8</v>
      </c>
      <c r="AE74" s="9">
        <f>IFERROR(IF(Karakterlap!$P$5="Váltott kaszt",IF(Karakterlap!$P$3=Adattábla!$L74,Karakterlap!$Y$3*3,IF(Karakterlap!$P$4=Adattábla!$L74,(Karakterlap!$Y$4-Adattábla!$I$20)*3,3)),VLOOKUP(Adattábla!$L74,Karakterlap!$P$3:$Z$4,10,FALSE)*3),3)</f>
        <v>3</v>
      </c>
      <c r="AF74" s="9">
        <f>IFERROR(IF(Karakterlap!$P$5="Váltott kaszt",IF(Karakterlap!$P$3=Adattábla!$L74,Karakterlap!$Y$3*3,IF(Karakterlap!$P$4=Adattábla!$L74,(Karakterlap!$Y$4-Adattábla!$I$20)*3,3)),VLOOKUP(Adattábla!$L74,Karakterlap!$P$3:$Z$4,10,FALSE)*3),3)</f>
        <v>3</v>
      </c>
      <c r="AG74" s="9">
        <v>6</v>
      </c>
      <c r="AH74" s="9">
        <f>IF(Karakterlap!$P$5="Iker kaszt",IF(Karakterlap!$P$3=L74,IFERROR((Karakterlap!$P$6*10)+(VLOOKUP(L74,Karakterlap!$P$3:$Z$4,10,FALSE)-Karakterlap!$P$6),10),IF(Karakterlap!$P$4=L74,VLOOKUP(L74,Karakterlap!$P$3:$Z$4,10,FALSE),10)),IF(Karakterlap!$P$5="Váltott kaszt",IF(L74=Karakterlap!$P$3,(Karakterlap!$Y$3+3)*10,VLOOKUP(L74,Karakterlap!$P$3:$Z$4,10,FALSE)*10),IFERROR(VLOOKUP(L74,Karakterlap!$P$3:$Z$4,10,FALSE)*10,10)))</f>
        <v>10</v>
      </c>
      <c r="AI74" s="9">
        <v>0</v>
      </c>
      <c r="AJ74" s="9">
        <v>6</v>
      </c>
      <c r="AK74" s="9">
        <v>6</v>
      </c>
      <c r="AL74" s="9">
        <f>IFERROR(VLOOKUP(L74,Karakterlap!$P$3:$Z$4,10,FALSE)*($E$18+2),$E$18+2)</f>
        <v>8</v>
      </c>
      <c r="AM74" s="9">
        <f>IFERROR(IF(VLOOKUP(L74,Karakterlap!$P$3:$Z$4,10,FALSE)&gt;1,9+((VLOOKUP(L74,Karakterlap!$P$3:$Z$4,10,FALSE)-1)*((ROUND($E$18/2,0))+6)),9),9)</f>
        <v>9</v>
      </c>
      <c r="AN74" s="9" t="s">
        <v>92</v>
      </c>
      <c r="AO74" s="9" t="str">
        <f>IFERROR((IF(Karakterlap!$F$9&gt;10,Karakterlap!$F$9-10,0))+5+((VLOOKUP(L74,Karakterlap!$P$3:$Z$4,10,FALSE)-1)*4),"más kaszt")</f>
        <v>más kaszt</v>
      </c>
      <c r="AP74" s="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9">
        <f>IFERROR(IF(Karakterlap!$P$6&gt;13,165001+((Karakterlap!$P$6-13)*50000),165001),165001)</f>
        <v>165001</v>
      </c>
      <c r="BB74" s="36">
        <f>VLOOKUP("2k6+6",$I$2:$J$11,2,FALSE)+IFERROR(VLOOKUP(Karakterlap!$V$7,$A$24:$C$33,3,FALSE),0)</f>
        <v>13</v>
      </c>
      <c r="BC74" s="36">
        <f>VLOOKUP("2k6+6",$I$2:$J$11,2,FALSE)+IFERROR(VLOOKUP(Karakterlap!$V$7,$A$24:$D$33,4,FALSE),0)</f>
        <v>13</v>
      </c>
      <c r="BD74" s="36">
        <f>VLOOKUP("3k6(2x)",$I$2:$J$11,2,FALSE)+IFERROR(VLOOKUP(Karakterlap!$V$7,$A$24:$E$33,5,FALSE),0)</f>
        <v>11</v>
      </c>
      <c r="BE74" s="36">
        <f>VLOOKUP("3k6(2x)",$I$2:$J$11,2,FALSE)+IFERROR(VLOOKUP(Karakterlap!$V$7,$A$24:$F$33,6,FALSE),0)</f>
        <v>11</v>
      </c>
      <c r="BF74" s="36">
        <f>VLOOKUP("k10+8",$I$2:$J$11,2,FALSE)+IFERROR(VLOOKUP(Karakterlap!$V$7,$A$24:$G$33,7,FALSE),0)</f>
        <v>14</v>
      </c>
      <c r="BG74" s="48">
        <f>VLOOKUP("k10+10",$I$2:$J$11,2,FALSE)+IFERROR(VLOOKUP(Karakterlap!$V$7,$A$24:$H$33,8,FALSE),0)</f>
        <v>16</v>
      </c>
      <c r="BH74" s="36">
        <f>VLOOKUP("k10+8",$I$2:$J$11,2,FALSE)+IFERROR(VLOOKUP(Karakterlap!$V$7,$A$24:$I$33,9,FALSE),0)</f>
        <v>14</v>
      </c>
      <c r="BI74" s="36">
        <f t="shared" si="2"/>
        <v>14</v>
      </c>
      <c r="BJ74" s="36">
        <f>VLOOKUP("k6+12",$I$2:$J$11,2,FALSE)+IFERROR(VLOOKUP(Karakterlap!$V$7,$A$24:$J$33,10,FALSE),0)</f>
        <v>16</v>
      </c>
      <c r="BK74" s="36">
        <f t="shared" si="3"/>
        <v>14</v>
      </c>
      <c r="BL74" s="36">
        <f>IF((SUM(Karakterlap!$F$3:$F$12)-SUM(BB74:BK74))&lt;0,0,SUM(Karakterlap!$F$3:$F$12)-SUM(BB74:BK74))</f>
        <v>0</v>
      </c>
      <c r="BM74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74&gt;18,BI74,18))&gt;0,Karakterlap!$F$10-IF(BI74&gt;18,BI74,18),0),0)+IF(Karakterlap!$F$11&gt;(18+IFERROR(VLOOKUP(Karakterlap!$V$7,$A$24:$J$33,10,FALSE),0)),(Karakterlap!$F$11-(18+IFERROR(VLOOKUP(Karakterlap!$V$7,$A$24:$J$33,10,FALSE),0))),0)+IF(Karakterlap!$F$12&gt;18,IF((Karakterlap!$F$12-IF(BK74&gt;18,BK74,18))&gt;0,Karakterlap!$F$12-IF(BK74&gt;18,BK74,18),0),0)</f>
        <v>#VALUE!</v>
      </c>
      <c r="BU74" t="s">
        <v>977</v>
      </c>
      <c r="BV74" t="s">
        <v>977</v>
      </c>
      <c r="BW74" s="5"/>
      <c r="BX74" s="97" t="s">
        <v>189</v>
      </c>
      <c r="BY74" s="97" t="s">
        <v>189</v>
      </c>
      <c r="BZ74" s="97" t="s">
        <v>187</v>
      </c>
      <c r="CA74" s="97" t="s">
        <v>187</v>
      </c>
      <c r="CB74" s="97" t="s">
        <v>190</v>
      </c>
      <c r="CC74" s="97" t="s">
        <v>193</v>
      </c>
      <c r="CD74" s="97" t="s">
        <v>190</v>
      </c>
      <c r="CE74" s="97" t="s">
        <v>190</v>
      </c>
      <c r="CF74" s="97" t="s">
        <v>192</v>
      </c>
      <c r="CG74" s="97" t="s">
        <v>190</v>
      </c>
    </row>
    <row r="75" spans="1:85" x14ac:dyDescent="0.2">
      <c r="A75" s="107" t="s">
        <v>38</v>
      </c>
      <c r="B75" s="99">
        <v>20</v>
      </c>
      <c r="C75" s="98">
        <v>21</v>
      </c>
      <c r="D75" s="98">
        <v>21</v>
      </c>
      <c r="E75" s="98">
        <v>20</v>
      </c>
      <c r="F75" s="101">
        <v>20</v>
      </c>
      <c r="G75" s="98">
        <v>21</v>
      </c>
      <c r="H75" s="98">
        <v>15</v>
      </c>
      <c r="I75" s="98">
        <v>18</v>
      </c>
      <c r="J75" s="98">
        <v>16</v>
      </c>
      <c r="K75" s="108">
        <v>20</v>
      </c>
      <c r="L75" s="9" t="s">
        <v>843</v>
      </c>
      <c r="M75">
        <v>0</v>
      </c>
      <c r="N75">
        <v>176</v>
      </c>
      <c r="O75">
        <v>353</v>
      </c>
      <c r="P75">
        <v>721</v>
      </c>
      <c r="Q75">
        <v>1501</v>
      </c>
      <c r="R75">
        <v>3501</v>
      </c>
      <c r="S75">
        <v>7001</v>
      </c>
      <c r="T75">
        <v>10501</v>
      </c>
      <c r="U75">
        <v>21001</v>
      </c>
      <c r="V75">
        <v>48001</v>
      </c>
      <c r="W75">
        <v>78001</v>
      </c>
      <c r="X75">
        <v>108001</v>
      </c>
      <c r="Y75">
        <f>IFERROR(IF(VLOOKUP(L75,Karakterlap!$P$3:$Z$4,10,FALSE)&gt;13,138001+((VLOOKUP(L75,Karakterlap!$P$3:$Z$4,10,FALSE)-13)*38000),138001),138001)</f>
        <v>138001</v>
      </c>
      <c r="Z75" s="9">
        <v>5</v>
      </c>
      <c r="AA75" s="9">
        <v>20</v>
      </c>
      <c r="AB75" s="9">
        <v>75</v>
      </c>
      <c r="AC75" s="9">
        <v>0</v>
      </c>
      <c r="AD75" s="9">
        <f>IFERROR(VLOOKUP(L75,Karakterlap!$P$3:$Z$4,10,FALSE)*8,8)</f>
        <v>8</v>
      </c>
      <c r="AE75" s="9">
        <f>IFERROR(IF(Karakterlap!$P$5="Váltott kaszt",IF(Karakterlap!$P$3=Adattábla!$L75,Karakterlap!$Y$3*3,IF(Karakterlap!$P$4=Adattábla!$L75,(Karakterlap!$Y$4-Adattábla!$I$20)*3,3)),VLOOKUP(Adattábla!$L75,Karakterlap!$P$3:$Z$4,10,FALSE)*3),3)</f>
        <v>3</v>
      </c>
      <c r="AF75" s="9">
        <f>IFERROR(IF(Karakterlap!$P$5="Váltott kaszt",IF(Karakterlap!$P$3=Adattábla!$L75,Karakterlap!$Y$3*3,IF(Karakterlap!$P$4=Adattábla!$L75,(Karakterlap!$Y$4-Adattábla!$I$20)*3,3)),VLOOKUP(Adattábla!$L75,Karakterlap!$P$3:$Z$4,10,FALSE)*3),3)</f>
        <v>3</v>
      </c>
      <c r="AG75" s="9">
        <v>5</v>
      </c>
      <c r="AH75" s="9">
        <f>IF(Karakterlap!$P$5="Iker kaszt",IF(Karakterlap!$P$3=L75,IFERROR((Karakterlap!$P$6*5)+(VLOOKUP(L75,Karakterlap!$P$3:$Z$4,10,FALSE)-Karakterlap!$P$6),5),IF(Karakterlap!$P$4=L75,VLOOKUP(L75,Karakterlap!$P$3:$Z$4,10,FALSE),5)),IF(Karakterlap!$P$5="Váltott kaszt",IF(L75=Karakterlap!$P$3,(Karakterlap!$Y$3+3)*5,VLOOKUP(L75,Karakterlap!$P$3:$Z$4,10,FALSE)*5),IFERROR(VLOOKUP(L75,Karakterlap!$P$3:$Z$4,10,FALSE)*5,5)))</f>
        <v>5</v>
      </c>
      <c r="AI75" s="9">
        <v>0</v>
      </c>
      <c r="AJ75" s="9">
        <v>8</v>
      </c>
      <c r="AK75" s="9">
        <v>7</v>
      </c>
      <c r="AL75">
        <f>IFERROR(VLOOKUP(L75,Karakterlap!$P$3:$Z$4,10,FALSE)*($E$18+5),$E$18+5)</f>
        <v>11</v>
      </c>
      <c r="AM75" s="9">
        <f>IFERROR(IF(VLOOKUP(L75,Karakterlap!$P$3:$Z$4,10,FALSE)&gt;1,9+((VLOOKUP(L75,Karakterlap!$P$3:$Z$4,10,FALSE)-1)*((ROUND($E$18/2,0))+6)),9),9)</f>
        <v>9</v>
      </c>
      <c r="AN75" t="s">
        <v>92</v>
      </c>
      <c r="AO75" t="str">
        <f>IFERROR((IF(Karakterlap!$F$9&gt;10,Karakterlap!$F$9-10,0))+5+((VLOOKUP(L75,Karakterlap!$P$3:$Z$4,10,FALSE)-1)*4),"más kaszt")</f>
        <v>más kaszt</v>
      </c>
      <c r="AR75" s="14">
        <v>30</v>
      </c>
      <c r="AS75" s="14">
        <v>15</v>
      </c>
      <c r="BA75">
        <f>IFERROR(IF(Karakterlap!$P$6&gt;13,138001+((Karakterlap!$P$6-13)*38000),138001),138001)</f>
        <v>138001</v>
      </c>
      <c r="BB75" s="36">
        <f>VLOOKUP("k10+8",$I$2:$J$11,2,FALSE)+IFERROR(VLOOKUP(Karakterlap!$V$7,$A$24:$C$33,3,FALSE),0)</f>
        <v>14</v>
      </c>
      <c r="BC75" s="36">
        <f>VLOOKUP("k10+8",$I$2:$J$11,2,FALSE)+IFERROR(VLOOKUP(Karakterlap!$V$7,$A$24:$D$33,4,FALSE),0)</f>
        <v>14</v>
      </c>
      <c r="BD75" s="36">
        <f>VLOOKUP("3k6(2x)",$I$2:$J$11,2,FALSE)+IFERROR(VLOOKUP(Karakterlap!$V$7,$A$24:$E$33,5,FALSE),0)</f>
        <v>11</v>
      </c>
      <c r="BE75" s="36">
        <f>VLOOKUP("3k6(2x)",$I$2:$J$11,2,FALSE)+IFERROR(VLOOKUP(Karakterlap!$V$7,$A$24:$F$33,6,FALSE),0)</f>
        <v>11</v>
      </c>
      <c r="BF75" s="48">
        <f>VLOOKUP("k10+10",$I$2:$J$11,2,FALSE)+IFERROR(VLOOKUP(Karakterlap!$V$7,$A$24:$G$33,7,FALSE),0)</f>
        <v>16</v>
      </c>
      <c r="BG75" s="36">
        <f>VLOOKUP("k10+8",$I$2:$J$11,2,FALSE)+IFERROR(VLOOKUP(Karakterlap!$V$7,$A$24:$H$33,8,FALSE),0)</f>
        <v>14</v>
      </c>
      <c r="BH75" s="36">
        <f>VLOOKUP("2k6+6",$I$2:$J$11,2,FALSE)+IFERROR(VLOOKUP(Karakterlap!$V$7,$A$24:$I$33,9,FALSE),0)</f>
        <v>13</v>
      </c>
      <c r="BI75" s="36">
        <f>VLOOKUP("k10+8",$I$2:$J$11,2,FALSE)</f>
        <v>14</v>
      </c>
      <c r="BJ75" s="36">
        <f>VLOOKUP("k6+12",$I$2:$J$11,2,FALSE)+IFERROR(VLOOKUP(Karakterlap!$V$7,$A$24:$J$33,10,FALSE),0)</f>
        <v>16</v>
      </c>
      <c r="BK75" s="36">
        <f>VLOOKUP("k10+8",$I$2:$J$11,2,FALSE)</f>
        <v>14</v>
      </c>
      <c r="BL75" s="36">
        <f>IF((SUM(Karakterlap!$F$3:$F$12)-SUM(BB75:BK75))&lt;0,0,SUM(Karakterlap!$F$3:$F$12)-SUM(BB75:BK75))</f>
        <v>0</v>
      </c>
      <c r="BM75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75&gt;18,BI75,18))&gt;0,Karakterlap!$F$10-IF(BI75&gt;18,BI75,18),0),0)+IF(Karakterlap!$F$11&gt;(18+IFERROR(VLOOKUP(Karakterlap!$V$7,$A$24:$J$33,10,FALSE),0)),(Karakterlap!$F$11-(18+IFERROR(VLOOKUP(Karakterlap!$V$7,$A$24:$J$33,10,FALSE),0))),0)+IF(Karakterlap!$F$12&gt;18,IF((Karakterlap!$F$12-IF(BK75&gt;18,BK75,18))&gt;0,Karakterlap!$F$12-IF(BK75&gt;18,BK75,18),0),0)</f>
        <v>#VALUE!</v>
      </c>
      <c r="BU75" t="s">
        <v>977</v>
      </c>
      <c r="BV75" t="s">
        <v>977</v>
      </c>
      <c r="BW75" s="5"/>
      <c r="BX75" s="97" t="s">
        <v>190</v>
      </c>
      <c r="BY75" s="97" t="s">
        <v>190</v>
      </c>
      <c r="BZ75" s="97" t="s">
        <v>187</v>
      </c>
      <c r="CA75" s="97" t="s">
        <v>187</v>
      </c>
      <c r="CB75" s="97" t="s">
        <v>193</v>
      </c>
      <c r="CC75" s="97" t="s">
        <v>190</v>
      </c>
      <c r="CD75" s="97" t="s">
        <v>189</v>
      </c>
      <c r="CE75" s="97" t="s">
        <v>190</v>
      </c>
      <c r="CF75" s="97" t="s">
        <v>192</v>
      </c>
      <c r="CG75" s="97" t="s">
        <v>190</v>
      </c>
    </row>
    <row r="76" spans="1:85" x14ac:dyDescent="0.2">
      <c r="A76" s="107" t="s">
        <v>36</v>
      </c>
      <c r="B76" s="99">
        <v>20</v>
      </c>
      <c r="C76" s="98">
        <v>20</v>
      </c>
      <c r="D76" s="98">
        <v>20</v>
      </c>
      <c r="E76" s="98">
        <v>20</v>
      </c>
      <c r="F76" s="98">
        <v>20</v>
      </c>
      <c r="G76" s="98">
        <v>20</v>
      </c>
      <c r="H76" s="98">
        <v>21</v>
      </c>
      <c r="I76" s="98">
        <v>21</v>
      </c>
      <c r="J76" s="98">
        <v>20</v>
      </c>
      <c r="K76" s="108">
        <v>20</v>
      </c>
      <c r="L76" s="9" t="s">
        <v>844</v>
      </c>
      <c r="M76">
        <v>0</v>
      </c>
      <c r="N76">
        <v>176</v>
      </c>
      <c r="O76">
        <v>353</v>
      </c>
      <c r="P76">
        <v>721</v>
      </c>
      <c r="Q76">
        <v>1501</v>
      </c>
      <c r="R76">
        <v>3501</v>
      </c>
      <c r="S76">
        <v>7001</v>
      </c>
      <c r="T76">
        <v>10501</v>
      </c>
      <c r="U76">
        <v>21001</v>
      </c>
      <c r="V76">
        <v>48001</v>
      </c>
      <c r="W76">
        <v>78001</v>
      </c>
      <c r="X76">
        <v>108001</v>
      </c>
      <c r="Y76">
        <f>IFERROR(IF(VLOOKUP(L76,Karakterlap!$P$3:$Z$4,10,FALSE)&gt;13,138001+((VLOOKUP(L76,Karakterlap!$P$3:$Z$4,10,FALSE)-13)*38000),138001),138001)</f>
        <v>138001</v>
      </c>
      <c r="Z76" s="9">
        <v>5</v>
      </c>
      <c r="AA76" s="9">
        <v>20</v>
      </c>
      <c r="AB76" s="9">
        <v>75</v>
      </c>
      <c r="AC76" s="9">
        <v>0</v>
      </c>
      <c r="AD76" s="9">
        <f>IFERROR(VLOOKUP(L76,Karakterlap!$P$3:$Z$4,10,FALSE)*9,9)</f>
        <v>9</v>
      </c>
      <c r="AE76" s="9">
        <f>IFERROR(IF(Karakterlap!$P$5="Váltott kaszt",IF(Karakterlap!$P$3=Adattábla!$L76,Karakterlap!$Y$3*3,IF(Karakterlap!$P$4=Adattábla!$L76,(Karakterlap!$Y$4-Adattábla!$I$20)*3,3)),VLOOKUP(Adattábla!$L76,Karakterlap!$P$3:$Z$4,10,FALSE)*3),3)</f>
        <v>3</v>
      </c>
      <c r="AF76" s="9">
        <f>IFERROR(IF(Karakterlap!$P$5="Váltott kaszt",IF(Karakterlap!$P$3=Adattábla!$L76,Karakterlap!$Y$3*3,IF(Karakterlap!$P$4=Adattábla!$L76,(Karakterlap!$Y$4-Adattábla!$I$20)*3,3)),VLOOKUP(Adattábla!$L76,Karakterlap!$P$3:$Z$4,10,FALSE)*3),3)</f>
        <v>3</v>
      </c>
      <c r="AG76" s="9">
        <v>5</v>
      </c>
      <c r="AH76" s="9">
        <f>IF(Karakterlap!$P$5="Iker kaszt",IF(Karakterlap!$P$3=L76,IFERROR((Karakterlap!$P$6*5)+(VLOOKUP(L76,Karakterlap!$P$3:$Z$4,10,FALSE)-Karakterlap!$P$6),5),IF(Karakterlap!$P$4=L76,VLOOKUP(L76,Karakterlap!$P$3:$Z$4,10,FALSE),5)),IF(Karakterlap!$P$5="Váltott kaszt",IF(L76=Karakterlap!$P$3,(Karakterlap!$Y$3+3)*5,VLOOKUP(L76,Karakterlap!$P$3:$Z$4,10,FALSE)*5),IFERROR(VLOOKUP(L76,Karakterlap!$P$3:$Z$4,10,FALSE)*5,5)))</f>
        <v>5</v>
      </c>
      <c r="AI76" s="9">
        <v>0</v>
      </c>
      <c r="AJ76" s="9">
        <v>8</v>
      </c>
      <c r="AK76" s="9">
        <v>7</v>
      </c>
      <c r="AL76">
        <f>IFERROR(VLOOKUP(L76,Karakterlap!$P$3:$Z$4,10,FALSE)*($E$18+5),$E$18+5)</f>
        <v>11</v>
      </c>
      <c r="AM76" s="9">
        <f>IFERROR(IF(VLOOKUP(L76,Karakterlap!$P$3:$Z$4,10,FALSE)&gt;1,9+((VLOOKUP(L76,Karakterlap!$P$3:$Z$4,10,FALSE)-1)*((ROUND($E$18/2,0))+6)),9),9)</f>
        <v>9</v>
      </c>
      <c r="AN76" t="s">
        <v>92</v>
      </c>
      <c r="AO76" t="str">
        <f>IFERROR((IF(Karakterlap!$F$9&gt;10,Karakterlap!$F$9-10,0))+5+((VLOOKUP(L76,Karakterlap!$P$3:$Z$4,10,FALSE)-1)*4),"más kaszt")</f>
        <v>más kaszt</v>
      </c>
      <c r="AR76" s="14">
        <v>30</v>
      </c>
      <c r="AS76" s="14">
        <v>15</v>
      </c>
      <c r="BA76">
        <f>IFERROR(IF(Karakterlap!$P$6&gt;13,138001+((Karakterlap!$P$6-13)*38000),138001),138001)</f>
        <v>138001</v>
      </c>
      <c r="BB76" s="36">
        <f>VLOOKUP("k10+8",$I$2:$J$11,2,FALSE)+IFERROR(VLOOKUP(Karakterlap!$V$7,$A$24:$C$33,3,FALSE),0)</f>
        <v>14</v>
      </c>
      <c r="BC76" s="36">
        <f>VLOOKUP("k10+8",$I$2:$J$11,2,FALSE)+IFERROR(VLOOKUP(Karakterlap!$V$7,$A$24:$D$33,4,FALSE),0)</f>
        <v>14</v>
      </c>
      <c r="BD76" s="36">
        <f>VLOOKUP("3k6(2x)",$I$2:$J$11,2,FALSE)+IFERROR(VLOOKUP(Karakterlap!$V$7,$A$24:$E$33,5,FALSE),0)</f>
        <v>11</v>
      </c>
      <c r="BE76" s="36">
        <f>VLOOKUP("3k6(2x)",$I$2:$J$11,2,FALSE)+IFERROR(VLOOKUP(Karakterlap!$V$7,$A$24:$F$33,6,FALSE),0)</f>
        <v>11</v>
      </c>
      <c r="BF76" s="48">
        <f>VLOOKUP("k10+10",$I$2:$J$11,2,FALSE)+IFERROR(VLOOKUP(Karakterlap!$V$7,$A$24:$G$33,7,FALSE),0)</f>
        <v>16</v>
      </c>
      <c r="BG76" s="36">
        <f>VLOOKUP("k10+8",$I$2:$J$11,2,FALSE)+IFERROR(VLOOKUP(Karakterlap!$V$7,$A$24:$H$33,8,FALSE),0)</f>
        <v>14</v>
      </c>
      <c r="BH76" s="36">
        <f>VLOOKUP("2k6+6",$I$2:$J$11,2,FALSE)+IFERROR(VLOOKUP(Karakterlap!$V$7,$A$24:$I$33,9,FALSE),0)</f>
        <v>13</v>
      </c>
      <c r="BI76" s="36">
        <f t="shared" ref="BI76:BI95" si="4">VLOOKUP("k10+8",$I$2:$J$11,2,FALSE)</f>
        <v>14</v>
      </c>
      <c r="BJ76" s="36">
        <f>VLOOKUP("k6+12",$I$2:$J$11,2,FALSE)+IFERROR(VLOOKUP(Karakterlap!$V$7,$A$24:$J$33,10,FALSE),0)</f>
        <v>16</v>
      </c>
      <c r="BK76" s="36">
        <f t="shared" ref="BK76:BK95" si="5">VLOOKUP("k10+8",$I$2:$J$11,2,FALSE)</f>
        <v>14</v>
      </c>
      <c r="BL76" s="36">
        <f>IF((SUM(Karakterlap!$F$3:$F$12)-SUM(BB76:BK76))&lt;0,0,SUM(Karakterlap!$F$3:$F$12)-SUM(BB76:BK76))</f>
        <v>0</v>
      </c>
      <c r="BM76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76&gt;18,BI76,18))&gt;0,Karakterlap!$F$10-IF(BI76&gt;18,BI76,18),0),0)+IF(Karakterlap!$F$11&gt;(18+IFERROR(VLOOKUP(Karakterlap!$V$7,$A$24:$J$33,10,FALSE),0)),(Karakterlap!$F$11-(18+IFERROR(VLOOKUP(Karakterlap!$V$7,$A$24:$J$33,10,FALSE),0))),0)+IF(Karakterlap!$F$12&gt;18,IF((Karakterlap!$F$12-IF(BK76&gt;18,BK76,18))&gt;0,Karakterlap!$F$12-IF(BK76&gt;18,BK76,18),0),0)</f>
        <v>#VALUE!</v>
      </c>
      <c r="BU76" t="s">
        <v>977</v>
      </c>
      <c r="BV76" t="s">
        <v>977</v>
      </c>
      <c r="BW76" s="5"/>
      <c r="BX76" s="97" t="s">
        <v>190</v>
      </c>
      <c r="BY76" s="97" t="s">
        <v>190</v>
      </c>
      <c r="BZ76" s="97" t="s">
        <v>187</v>
      </c>
      <c r="CA76" s="97" t="s">
        <v>187</v>
      </c>
      <c r="CB76" s="97" t="s">
        <v>193</v>
      </c>
      <c r="CC76" s="97" t="s">
        <v>190</v>
      </c>
      <c r="CD76" s="97" t="s">
        <v>189</v>
      </c>
      <c r="CE76" s="97" t="s">
        <v>190</v>
      </c>
      <c r="CF76" s="97" t="s">
        <v>192</v>
      </c>
      <c r="CG76" s="97" t="s">
        <v>190</v>
      </c>
    </row>
    <row r="77" spans="1:85" x14ac:dyDescent="0.2">
      <c r="A77" s="107" t="s">
        <v>39</v>
      </c>
      <c r="B77" s="99">
        <v>20</v>
      </c>
      <c r="C77" s="98">
        <v>18</v>
      </c>
      <c r="D77" s="98">
        <v>18</v>
      </c>
      <c r="E77" s="98">
        <v>21</v>
      </c>
      <c r="F77" s="98">
        <v>21</v>
      </c>
      <c r="G77" s="98">
        <v>20</v>
      </c>
      <c r="H77" s="98">
        <v>21</v>
      </c>
      <c r="I77" s="98">
        <v>20</v>
      </c>
      <c r="J77" s="98">
        <v>20</v>
      </c>
      <c r="K77" s="108">
        <v>20</v>
      </c>
      <c r="L77" s="9" t="s">
        <v>845</v>
      </c>
      <c r="M77">
        <v>0</v>
      </c>
      <c r="N77">
        <v>176</v>
      </c>
      <c r="O77">
        <v>353</v>
      </c>
      <c r="P77">
        <v>721</v>
      </c>
      <c r="Q77">
        <v>1501</v>
      </c>
      <c r="R77">
        <v>3501</v>
      </c>
      <c r="S77">
        <v>7001</v>
      </c>
      <c r="T77">
        <v>10501</v>
      </c>
      <c r="U77">
        <v>21001</v>
      </c>
      <c r="V77">
        <v>48001</v>
      </c>
      <c r="W77">
        <v>78001</v>
      </c>
      <c r="X77">
        <v>108001</v>
      </c>
      <c r="Y77">
        <f>IFERROR(IF(VLOOKUP(L77,Karakterlap!$P$3:$Z$4,10,FALSE)&gt;13,138001+((VLOOKUP(L77,Karakterlap!$P$3:$Z$4,10,FALSE)-13)*38000),138001),138001)</f>
        <v>138001</v>
      </c>
      <c r="Z77" s="9">
        <v>5</v>
      </c>
      <c r="AA77" s="9">
        <v>20</v>
      </c>
      <c r="AB77" s="9">
        <v>75</v>
      </c>
      <c r="AC77" s="9">
        <v>0</v>
      </c>
      <c r="AD77" s="9">
        <f>IFERROR(VLOOKUP(L77,Karakterlap!$P$3:$Z$4,10,FALSE)*9,9)</f>
        <v>9</v>
      </c>
      <c r="AE77" s="9">
        <f>IFERROR(IF(Karakterlap!$P$5="Váltott kaszt",IF(Karakterlap!$P$3=Adattábla!$L77,Karakterlap!$Y$3*3,IF(Karakterlap!$P$4=Adattábla!$L77,(Karakterlap!$Y$4-Adattábla!$I$20)*3,3)),VLOOKUP(Adattábla!$L77,Karakterlap!$P$3:$Z$4,10,FALSE)*3),3)</f>
        <v>3</v>
      </c>
      <c r="AF77" s="9">
        <f>IFERROR(IF(Karakterlap!$P$5="Váltott kaszt",IF(Karakterlap!$P$3=Adattábla!$L77,Karakterlap!$Y$3*3,IF(Karakterlap!$P$4=Adattábla!$L77,(Karakterlap!$Y$4-Adattábla!$I$20)*3,3)),VLOOKUP(Adattábla!$L77,Karakterlap!$P$3:$Z$4,10,FALSE)*3),3)</f>
        <v>3</v>
      </c>
      <c r="AG77" s="9">
        <v>5</v>
      </c>
      <c r="AH77" s="9">
        <f>IF(Karakterlap!$P$5="Iker kaszt",IF(Karakterlap!$P$3=L77,IFERROR((Karakterlap!$P$6*5)+(VLOOKUP(L77,Karakterlap!$P$3:$Z$4,10,FALSE)-Karakterlap!$P$6),5),IF(Karakterlap!$P$4=L77,VLOOKUP(L77,Karakterlap!$P$3:$Z$4,10,FALSE),5)),IF(Karakterlap!$P$5="Váltott kaszt",IF(L77=Karakterlap!$P$3,(Karakterlap!$Y$3+3)*5,VLOOKUP(L77,Karakterlap!$P$3:$Z$4,10,FALSE)*5),IFERROR(VLOOKUP(L77,Karakterlap!$P$3:$Z$4,10,FALSE)*5,5)))</f>
        <v>5</v>
      </c>
      <c r="AI77" s="9">
        <v>0</v>
      </c>
      <c r="AJ77" s="9">
        <v>8</v>
      </c>
      <c r="AK77" s="9">
        <v>7</v>
      </c>
      <c r="AL77">
        <f>IFERROR(VLOOKUP(L77,Karakterlap!$P$3:$Z$4,10,FALSE)*($E$18+5),$E$18+5)</f>
        <v>11</v>
      </c>
      <c r="AM77" s="9">
        <f>IFERROR(IF(VLOOKUP(L77,Karakterlap!$P$3:$Z$4,10,FALSE)&gt;1,9+((VLOOKUP(L77,Karakterlap!$P$3:$Z$4,10,FALSE)-1)*((ROUND($E$18/2,0))+6)),9),9)</f>
        <v>9</v>
      </c>
      <c r="AN77" t="s">
        <v>92</v>
      </c>
      <c r="AO77" t="str">
        <f>IFERROR((IF(Karakterlap!$F$9&gt;10,Karakterlap!$F$9-10,0))+5+((VLOOKUP(L77,Karakterlap!$P$3:$Z$4,10,FALSE)-1)*4),"más kaszt")</f>
        <v>más kaszt</v>
      </c>
      <c r="AQ77" s="14">
        <v>30</v>
      </c>
      <c r="AR77" s="14">
        <v>30</v>
      </c>
      <c r="AS77" s="14">
        <v>15</v>
      </c>
      <c r="BA77">
        <f>IFERROR(IF(Karakterlap!$P$6&gt;13,138001+((Karakterlap!$P$6-13)*38000),138001),138001)</f>
        <v>138001</v>
      </c>
      <c r="BB77" s="36">
        <f>VLOOKUP("k10+8",$I$2:$J$11,2,FALSE)+IFERROR(VLOOKUP(Karakterlap!$V$7,$A$24:$C$33,3,FALSE),0)</f>
        <v>14</v>
      </c>
      <c r="BC77" s="36">
        <f>VLOOKUP("k10+8",$I$2:$J$11,2,FALSE)+IFERROR(VLOOKUP(Karakterlap!$V$7,$A$24:$D$33,4,FALSE),0)</f>
        <v>14</v>
      </c>
      <c r="BD77" s="36">
        <f>VLOOKUP("3k6(2x)",$I$2:$J$11,2,FALSE)+IFERROR(VLOOKUP(Karakterlap!$V$7,$A$24:$E$33,5,FALSE),0)</f>
        <v>11</v>
      </c>
      <c r="BE77" s="36">
        <f>VLOOKUP("3k6(2x)",$I$2:$J$11,2,FALSE)+IFERROR(VLOOKUP(Karakterlap!$V$7,$A$24:$F$33,6,FALSE),0)</f>
        <v>11</v>
      </c>
      <c r="BF77" s="48">
        <f>VLOOKUP("k10+10",$I$2:$J$11,2,FALSE)+IFERROR(VLOOKUP(Karakterlap!$V$7,$A$24:$G$33,7,FALSE),0)</f>
        <v>16</v>
      </c>
      <c r="BG77" s="36">
        <f>VLOOKUP("k10+8",$I$2:$J$11,2,FALSE)+IFERROR(VLOOKUP(Karakterlap!$V$7,$A$24:$H$33,8,FALSE),0)</f>
        <v>14</v>
      </c>
      <c r="BH77" s="36">
        <f>VLOOKUP("2k6+6",$I$2:$J$11,2,FALSE)+IFERROR(VLOOKUP(Karakterlap!$V$7,$A$24:$I$33,9,FALSE),0)</f>
        <v>13</v>
      </c>
      <c r="BI77" s="36">
        <f t="shared" si="4"/>
        <v>14</v>
      </c>
      <c r="BJ77" s="36">
        <f>VLOOKUP("k6+12",$I$2:$J$11,2,FALSE)+IFERROR(VLOOKUP(Karakterlap!$V$7,$A$24:$J$33,10,FALSE),0)</f>
        <v>16</v>
      </c>
      <c r="BK77" s="36">
        <f t="shared" si="5"/>
        <v>14</v>
      </c>
      <c r="BL77" s="36">
        <f>IF((SUM(Karakterlap!$F$3:$F$12)-SUM(BB77:BK77))&lt;0,0,SUM(Karakterlap!$F$3:$F$12)-SUM(BB77:BK77))</f>
        <v>0</v>
      </c>
      <c r="BM77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77&gt;18,BI77,18))&gt;0,Karakterlap!$F$10-IF(BI77&gt;18,BI77,18),0),0)+IF(Karakterlap!$F$11&gt;(18+IFERROR(VLOOKUP(Karakterlap!$V$7,$A$24:$J$33,10,FALSE),0)),(Karakterlap!$F$11-(18+IFERROR(VLOOKUP(Karakterlap!$V$7,$A$24:$J$33,10,FALSE),0))),0)+IF(Karakterlap!$F$12&gt;18,IF((Karakterlap!$F$12-IF(BK77&gt;18,BK77,18))&gt;0,Karakterlap!$F$12-IF(BK77&gt;18,BK77,18),0),0)</f>
        <v>#VALUE!</v>
      </c>
      <c r="BU77" t="s">
        <v>977</v>
      </c>
      <c r="BV77" t="s">
        <v>977</v>
      </c>
      <c r="BW77" s="5"/>
      <c r="BX77" s="97" t="s">
        <v>190</v>
      </c>
      <c r="BY77" s="97" t="s">
        <v>190</v>
      </c>
      <c r="BZ77" s="97" t="s">
        <v>187</v>
      </c>
      <c r="CA77" s="97" t="s">
        <v>187</v>
      </c>
      <c r="CB77" s="97" t="s">
        <v>193</v>
      </c>
      <c r="CC77" s="97" t="s">
        <v>190</v>
      </c>
      <c r="CD77" s="97" t="s">
        <v>189</v>
      </c>
      <c r="CE77" s="97" t="s">
        <v>190</v>
      </c>
      <c r="CF77" s="97" t="s">
        <v>192</v>
      </c>
      <c r="CG77" s="97" t="s">
        <v>190</v>
      </c>
    </row>
    <row r="78" spans="1:85" x14ac:dyDescent="0.2">
      <c r="A78" s="107" t="s">
        <v>182</v>
      </c>
      <c r="B78" s="99">
        <v>20</v>
      </c>
      <c r="C78" s="98">
        <v>20</v>
      </c>
      <c r="D78" s="98">
        <v>20</v>
      </c>
      <c r="E78" s="98">
        <v>20</v>
      </c>
      <c r="F78" s="98">
        <v>20</v>
      </c>
      <c r="G78" s="98">
        <v>20</v>
      </c>
      <c r="H78" s="98">
        <v>20</v>
      </c>
      <c r="I78" s="98">
        <v>22</v>
      </c>
      <c r="J78" s="98">
        <v>20</v>
      </c>
      <c r="K78" s="108">
        <v>20</v>
      </c>
      <c r="L78" s="9" t="s">
        <v>851</v>
      </c>
      <c r="M78" s="9">
        <v>0</v>
      </c>
      <c r="N78" s="9">
        <v>161</v>
      </c>
      <c r="O78" s="9">
        <v>331</v>
      </c>
      <c r="P78" s="9">
        <v>661</v>
      </c>
      <c r="Q78" s="9">
        <v>1301</v>
      </c>
      <c r="R78" s="9">
        <v>2601</v>
      </c>
      <c r="S78" s="9">
        <v>5001</v>
      </c>
      <c r="T78" s="9">
        <v>9001</v>
      </c>
      <c r="U78" s="9">
        <v>23001</v>
      </c>
      <c r="V78" s="9">
        <v>50001</v>
      </c>
      <c r="W78" s="9">
        <v>90001</v>
      </c>
      <c r="X78" s="9">
        <v>130001</v>
      </c>
      <c r="Y78" s="9">
        <f>IFERROR(IF(VLOOKUP(L78,Karakterlap!$P$3:$Z$4,10,FALSE)&gt;13,165001+((VLOOKUP(L78,Karakterlap!$P$3:$Z$4,10,FALSE)-13)*50000),165001),165001)</f>
        <v>165001</v>
      </c>
      <c r="Z78" s="9">
        <v>5</v>
      </c>
      <c r="AA78" s="9">
        <v>17</v>
      </c>
      <c r="AB78" s="9">
        <v>72</v>
      </c>
      <c r="AC78" s="9">
        <v>0</v>
      </c>
      <c r="AD78" s="9">
        <f>IFERROR(VLOOKUP(L78,Karakterlap!$P$3:$Z$4,10,FALSE)*8,8)</f>
        <v>8</v>
      </c>
      <c r="AE78" s="9">
        <f>IFERROR(IF(Karakterlap!$P$5="Váltott kaszt",IF(Karakterlap!$P$3=Adattábla!$L78,Karakterlap!$Y$3*3,IF(Karakterlap!$P$4=Adattábla!$L78,(Karakterlap!$Y$4-Adattábla!$I$20)*3,3)),VLOOKUP(Adattábla!$L78,Karakterlap!$P$3:$Z$4,10,FALSE)*3),3)</f>
        <v>3</v>
      </c>
      <c r="AF78" s="9">
        <f>IFERROR(IF(Karakterlap!$P$5="Váltott kaszt",IF(Karakterlap!$P$3=Adattábla!$L78,Karakterlap!$Y$3*3,IF(Karakterlap!$P$4=Adattábla!$L78,(Karakterlap!$Y$4-Adattábla!$I$20)*3,3)),VLOOKUP(Adattábla!$L78,Karakterlap!$P$3:$Z$4,10,FALSE)*3),3)</f>
        <v>3</v>
      </c>
      <c r="AG78" s="9">
        <v>6</v>
      </c>
      <c r="AH78" s="9">
        <f>IF(Karakterlap!$P$5="Iker kaszt",IF(Karakterlap!$P$3=L78,IFERROR((Karakterlap!$P$6*10)+(VLOOKUP(L78,Karakterlap!$P$3:$Z$4,10,FALSE)-Karakterlap!$P$6),10),IF(Karakterlap!$P$4=L78,VLOOKUP(L78,Karakterlap!$P$3:$Z$4,10,FALSE),10)),IF(Karakterlap!$P$5="Váltott kaszt",IF(L78=Karakterlap!$P$3,(Karakterlap!$Y$3+3)*10,VLOOKUP(L78,Karakterlap!$P$3:$Z$4,10,FALSE)*10),IFERROR(VLOOKUP(L78,Karakterlap!$P$3:$Z$4,10,FALSE)*10,10)))</f>
        <v>10</v>
      </c>
      <c r="AI78" s="9">
        <v>0</v>
      </c>
      <c r="AJ78" s="9">
        <v>6</v>
      </c>
      <c r="AK78" s="9">
        <v>6</v>
      </c>
      <c r="AL78" s="9">
        <f>IFERROR(VLOOKUP(L78,Karakterlap!$P$3:$Z$4,10,FALSE)*($E$18+2),$E$18+2)</f>
        <v>8</v>
      </c>
      <c r="AM78" s="9">
        <f>IFERROR(IF(VLOOKUP(L78,Karakterlap!$P$3:$Z$4,10,FALSE)&gt;1,9+((VLOOKUP(L78,Karakterlap!$P$3:$Z$4,10,FALSE)-1)*((ROUND($E$18/2,0))+6)),9),9)</f>
        <v>9</v>
      </c>
      <c r="AN78" s="9" t="s">
        <v>92</v>
      </c>
      <c r="AO78" s="9" t="str">
        <f>IFERROR((IF(Karakterlap!$F$9&gt;10,Karakterlap!$F$9-10,0))+5+((VLOOKUP(L78,Karakterlap!$P$3:$Z$4,10,FALSE)-1)*4),"más kaszt")</f>
        <v>más kaszt</v>
      </c>
      <c r="AP78" s="9"/>
      <c r="AQ78" s="29"/>
      <c r="AR78" s="29"/>
      <c r="AS78" s="29"/>
      <c r="AT78" s="29">
        <f>IFERROR(IF(VLOOKUP(L78,Karakterlap!$P$3:$Z$4,10,FALSE)&gt;3,15,0),0)</f>
        <v>0</v>
      </c>
      <c r="AU78" s="29">
        <v>15</v>
      </c>
      <c r="AV78" s="29"/>
      <c r="AW78" s="29"/>
      <c r="AX78" s="29"/>
      <c r="AY78" s="29"/>
      <c r="AZ78" s="29"/>
      <c r="BA78" s="9">
        <f>IFERROR(IF(Karakterlap!$P$6&gt;13,165001+((Karakterlap!$P$6-13)*50000),165001),165001)</f>
        <v>165001</v>
      </c>
      <c r="BB78" s="36">
        <f>VLOOKUP("2k6+6",$I$2:$J$11,2,FALSE)+IFERROR(VLOOKUP(Karakterlap!$V$7,$A$24:$C$33,3,FALSE),0)</f>
        <v>13</v>
      </c>
      <c r="BC78" s="36">
        <f>VLOOKUP("2k6+6",$I$2:$J$11,2,FALSE)+IFERROR(VLOOKUP(Karakterlap!$V$7,$A$24:$D$33,4,FALSE),0)</f>
        <v>13</v>
      </c>
      <c r="BD78" s="36">
        <f>VLOOKUP("3k6(2x)",$I$2:$J$11,2,FALSE)+IFERROR(VLOOKUP(Karakterlap!$V$7,$A$24:$E$33,5,FALSE),0)</f>
        <v>11</v>
      </c>
      <c r="BE78" s="36">
        <f>VLOOKUP("3k6(2x)",$I$2:$J$11,2,FALSE)+IFERROR(VLOOKUP(Karakterlap!$V$7,$A$24:$F$33,6,FALSE),0)</f>
        <v>11</v>
      </c>
      <c r="BF78" s="36">
        <f>VLOOKUP("k10+8",$I$2:$J$11,2,FALSE)+IFERROR(VLOOKUP(Karakterlap!$V$7,$A$24:$G$33,7,FALSE),0)</f>
        <v>14</v>
      </c>
      <c r="BG78" s="48">
        <f>VLOOKUP("k10+10",$I$2:$J$11,2,FALSE)+IFERROR(VLOOKUP(Karakterlap!$V$7,$A$24:$H$33,8,FALSE),0)</f>
        <v>16</v>
      </c>
      <c r="BH78" s="36">
        <f>VLOOKUP("k10+8",$I$2:$J$11,2,FALSE)+IFERROR(VLOOKUP(Karakterlap!$V$7,$A$24:$I$33,9,FALSE),0)</f>
        <v>14</v>
      </c>
      <c r="BI78" s="36">
        <f t="shared" si="4"/>
        <v>14</v>
      </c>
      <c r="BJ78" s="36">
        <f>VLOOKUP("k6+12",$I$2:$J$11,2,FALSE)+IFERROR(VLOOKUP(Karakterlap!$V$7,$A$24:$J$33,10,FALSE),0)</f>
        <v>16</v>
      </c>
      <c r="BK78" s="36">
        <f t="shared" si="5"/>
        <v>14</v>
      </c>
      <c r="BL78" s="36">
        <f>IF((SUM(Karakterlap!$F$3:$F$12)-SUM(BB78:BK78))&lt;0,0,SUM(Karakterlap!$F$3:$F$12)-SUM(BB78:BK78))</f>
        <v>0</v>
      </c>
      <c r="BM78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78&gt;18,BI78,18))&gt;0,Karakterlap!$F$10-IF(BI78&gt;18,BI78,18),0),0)+IF(Karakterlap!$F$11&gt;(18+IFERROR(VLOOKUP(Karakterlap!$V$7,$A$24:$J$33,10,FALSE),0)),(Karakterlap!$F$11-(18+IFERROR(VLOOKUP(Karakterlap!$V$7,$A$24:$J$33,10,FALSE),0))),0)+IF(Karakterlap!$F$12&gt;18,IF((Karakterlap!$F$12-IF(BK78&gt;18,BK78,18))&gt;0,Karakterlap!$F$12-IF(BK78&gt;18,BK78,18),0),0)</f>
        <v>#VALUE!</v>
      </c>
      <c r="BU78" t="s">
        <v>977</v>
      </c>
      <c r="BV78" t="s">
        <v>977</v>
      </c>
      <c r="BW78" s="5"/>
      <c r="BX78" s="97" t="s">
        <v>189</v>
      </c>
      <c r="BY78" s="97" t="s">
        <v>189</v>
      </c>
      <c r="BZ78" s="97" t="s">
        <v>187</v>
      </c>
      <c r="CA78" s="97" t="s">
        <v>187</v>
      </c>
      <c r="CB78" s="97" t="s">
        <v>190</v>
      </c>
      <c r="CC78" s="97" t="s">
        <v>193</v>
      </c>
      <c r="CD78" s="97" t="s">
        <v>190</v>
      </c>
      <c r="CE78" s="97" t="s">
        <v>190</v>
      </c>
      <c r="CF78" s="97" t="s">
        <v>192</v>
      </c>
      <c r="CG78" s="97" t="s">
        <v>190</v>
      </c>
    </row>
    <row r="79" spans="1:85" x14ac:dyDescent="0.2">
      <c r="A79" s="107" t="s">
        <v>162</v>
      </c>
      <c r="B79" s="99">
        <v>20</v>
      </c>
      <c r="C79" s="101">
        <v>23</v>
      </c>
      <c r="D79" s="101">
        <v>22</v>
      </c>
      <c r="E79" s="101">
        <v>22</v>
      </c>
      <c r="F79" s="101">
        <v>21</v>
      </c>
      <c r="G79" s="101">
        <v>23</v>
      </c>
      <c r="H79" s="101">
        <v>20</v>
      </c>
      <c r="I79" s="101">
        <v>17</v>
      </c>
      <c r="J79" s="98">
        <v>15</v>
      </c>
      <c r="K79" s="108">
        <v>20</v>
      </c>
      <c r="L79" s="9" t="s">
        <v>852</v>
      </c>
      <c r="M79" s="9">
        <v>0</v>
      </c>
      <c r="N79" s="9">
        <v>161</v>
      </c>
      <c r="O79" s="9">
        <v>331</v>
      </c>
      <c r="P79" s="9">
        <v>661</v>
      </c>
      <c r="Q79" s="9">
        <v>1301</v>
      </c>
      <c r="R79" s="9">
        <v>2601</v>
      </c>
      <c r="S79" s="9">
        <v>5001</v>
      </c>
      <c r="T79" s="9">
        <v>9001</v>
      </c>
      <c r="U79" s="9">
        <v>23001</v>
      </c>
      <c r="V79" s="9">
        <v>50001</v>
      </c>
      <c r="W79" s="9">
        <v>90001</v>
      </c>
      <c r="X79" s="9">
        <v>130001</v>
      </c>
      <c r="Y79" s="9">
        <f>IFERROR(IF(VLOOKUP(L79,Karakterlap!$P$3:$Z$4,10,FALSE)&gt;13,165001+((VLOOKUP(L79,Karakterlap!$P$3:$Z$4,10,FALSE)-13)*50000),165001),165001)</f>
        <v>165001</v>
      </c>
      <c r="Z79" s="9">
        <v>5</v>
      </c>
      <c r="AA79" s="9">
        <v>17</v>
      </c>
      <c r="AB79" s="9">
        <v>72</v>
      </c>
      <c r="AC79" s="9">
        <v>0</v>
      </c>
      <c r="AD79" s="9">
        <f>IFERROR(VLOOKUP(L79,Karakterlap!$P$3:$Z$4,10,FALSE)*9,9)</f>
        <v>9</v>
      </c>
      <c r="AE79" s="9">
        <f>IFERROR(IF(Karakterlap!$P$5="Váltott kaszt",IF(Karakterlap!$P$3=Adattábla!$L79,Karakterlap!$Y$3*3,IF(Karakterlap!$P$4=Adattábla!$L79,(Karakterlap!$Y$4-Adattábla!$I$20)*3,3)),VLOOKUP(Adattábla!$L79,Karakterlap!$P$3:$Z$4,10,FALSE)*3),3)</f>
        <v>3</v>
      </c>
      <c r="AF79" s="9">
        <f>IFERROR(IF(Karakterlap!$P$5="Váltott kaszt",IF(Karakterlap!$P$3=Adattábla!$L79,Karakterlap!$Y$3*3,IF(Karakterlap!$P$4=Adattábla!$L79,(Karakterlap!$Y$4-Adattábla!$I$20)*3,3)),VLOOKUP(Adattábla!$L79,Karakterlap!$P$3:$Z$4,10,FALSE)*3),3)</f>
        <v>3</v>
      </c>
      <c r="AG79" s="9">
        <v>6</v>
      </c>
      <c r="AH79" s="9">
        <f>IF(Karakterlap!$P$5="Iker kaszt",IF(Karakterlap!$P$3=L79,IFERROR((Karakterlap!$P$6*10)+(VLOOKUP(L79,Karakterlap!$P$3:$Z$4,10,FALSE)-Karakterlap!$P$6),10),IF(Karakterlap!$P$4=L79,VLOOKUP(L79,Karakterlap!$P$3:$Z$4,10,FALSE),10)),IF(Karakterlap!$P$5="Váltott kaszt",IF(L79=Karakterlap!$P$3,(Karakterlap!$Y$3+3)*10,VLOOKUP(L79,Karakterlap!$P$3:$Z$4,10,FALSE)*10),IFERROR(VLOOKUP(L79,Karakterlap!$P$3:$Z$4,10,FALSE)*10,10)))</f>
        <v>10</v>
      </c>
      <c r="AI79" s="9">
        <v>0</v>
      </c>
      <c r="AJ79" s="9">
        <v>6</v>
      </c>
      <c r="AK79" s="9">
        <v>6</v>
      </c>
      <c r="AL79" s="9">
        <f>IFERROR(VLOOKUP(L79,Karakterlap!$P$3:$Z$4,10,FALSE)*($E$18+2),$E$18+2)</f>
        <v>8</v>
      </c>
      <c r="AM79" s="9">
        <f>IFERROR(IF(VLOOKUP(L79,Karakterlap!$P$3:$Z$4,10,FALSE)&gt;1,9+((VLOOKUP(L79,Karakterlap!$P$3:$Z$4,10,FALSE)-1)*((ROUND($E$18/2,0))+6)),9),9)</f>
        <v>9</v>
      </c>
      <c r="AN79" s="9" t="s">
        <v>92</v>
      </c>
      <c r="AO79" s="9" t="str">
        <f>IFERROR((IF(Karakterlap!$F$9&gt;10,Karakterlap!$F$9-10,0))+5+((VLOOKUP(L79,Karakterlap!$P$3:$Z$4,10,FALSE)-1)*4),"más kaszt")</f>
        <v>más kaszt</v>
      </c>
      <c r="AP79" s="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9">
        <f>IFERROR(IF(Karakterlap!$P$6&gt;13,165001+((Karakterlap!$P$6-13)*50000),165001),165001)</f>
        <v>165001</v>
      </c>
      <c r="BB79" s="36">
        <f>VLOOKUP("2k6+6",$I$2:$J$11,2,FALSE)+IFERROR(VLOOKUP(Karakterlap!$V$7,$A$24:$C$33,3,FALSE),0)</f>
        <v>13</v>
      </c>
      <c r="BC79" s="36">
        <f>VLOOKUP("2k6+6",$I$2:$J$11,2,FALSE)+IFERROR(VLOOKUP(Karakterlap!$V$7,$A$24:$D$33,4,FALSE),0)</f>
        <v>13</v>
      </c>
      <c r="BD79" s="36">
        <f>VLOOKUP("3k6(2x)",$I$2:$J$11,2,FALSE)+IFERROR(VLOOKUP(Karakterlap!$V$7,$A$24:$E$33,5,FALSE),0)</f>
        <v>11</v>
      </c>
      <c r="BE79" s="36">
        <f>VLOOKUP("3k6(2x)",$I$2:$J$11,2,FALSE)+IFERROR(VLOOKUP(Karakterlap!$V$7,$A$24:$F$33,6,FALSE),0)</f>
        <v>11</v>
      </c>
      <c r="BF79" s="36">
        <f>VLOOKUP("k10+8",$I$2:$J$11,2,FALSE)+IFERROR(VLOOKUP(Karakterlap!$V$7,$A$24:$G$33,7,FALSE),0)</f>
        <v>14</v>
      </c>
      <c r="BG79" s="48">
        <f>VLOOKUP("k10+10",$I$2:$J$11,2,FALSE)+IFERROR(VLOOKUP(Karakterlap!$V$7,$A$24:$H$33,8,FALSE),0)</f>
        <v>16</v>
      </c>
      <c r="BH79" s="36">
        <f>VLOOKUP("k10+8",$I$2:$J$11,2,FALSE)+IFERROR(VLOOKUP(Karakterlap!$V$7,$A$24:$I$33,9,FALSE),0)</f>
        <v>14</v>
      </c>
      <c r="BI79" s="36">
        <f t="shared" si="4"/>
        <v>14</v>
      </c>
      <c r="BJ79" s="36">
        <f>VLOOKUP("k6+12",$I$2:$J$11,2,FALSE)+IFERROR(VLOOKUP(Karakterlap!$V$7,$A$24:$J$33,10,FALSE),0)</f>
        <v>16</v>
      </c>
      <c r="BK79" s="36">
        <f t="shared" si="5"/>
        <v>14</v>
      </c>
      <c r="BL79" s="36">
        <f>IF((SUM(Karakterlap!$F$3:$F$12)-SUM(BB79:BK79))&lt;0,0,SUM(Karakterlap!$F$3:$F$12)-SUM(BB79:BK79))</f>
        <v>0</v>
      </c>
      <c r="BM79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79&gt;18,BI79,18))&gt;0,Karakterlap!$F$10-IF(BI79&gt;18,BI79,18),0),0)+IF(Karakterlap!$F$11&gt;(18+IFERROR(VLOOKUP(Karakterlap!$V$7,$A$24:$J$33,10,FALSE),0)),(Karakterlap!$F$11-(18+IFERROR(VLOOKUP(Karakterlap!$V$7,$A$24:$J$33,10,FALSE),0))),0)+IF(Karakterlap!$F$12&gt;18,IF((Karakterlap!$F$12-IF(BK79&gt;18,BK79,18))&gt;0,Karakterlap!$F$12-IF(BK79&gt;18,BK79,18),0),0)</f>
        <v>#VALUE!</v>
      </c>
      <c r="BU79" t="s">
        <v>977</v>
      </c>
      <c r="BV79" t="s">
        <v>977</v>
      </c>
      <c r="BW79" s="5"/>
      <c r="BX79" s="97" t="s">
        <v>189</v>
      </c>
      <c r="BY79" s="97" t="s">
        <v>189</v>
      </c>
      <c r="BZ79" s="97" t="s">
        <v>187</v>
      </c>
      <c r="CA79" s="97" t="s">
        <v>187</v>
      </c>
      <c r="CB79" s="97" t="s">
        <v>190</v>
      </c>
      <c r="CC79" s="97" t="s">
        <v>193</v>
      </c>
      <c r="CD79" s="97" t="s">
        <v>190</v>
      </c>
      <c r="CE79" s="97" t="s">
        <v>190</v>
      </c>
      <c r="CF79" s="97" t="s">
        <v>192</v>
      </c>
      <c r="CG79" s="97" t="s">
        <v>190</v>
      </c>
    </row>
    <row r="80" spans="1:85" x14ac:dyDescent="0.2">
      <c r="A80" s="107" t="s">
        <v>183</v>
      </c>
      <c r="B80" s="99">
        <v>20</v>
      </c>
      <c r="C80" s="98">
        <v>21</v>
      </c>
      <c r="D80" s="98">
        <v>21</v>
      </c>
      <c r="E80" s="101">
        <v>20</v>
      </c>
      <c r="F80" s="101">
        <v>20</v>
      </c>
      <c r="G80" s="101">
        <v>20</v>
      </c>
      <c r="H80" s="98">
        <v>23</v>
      </c>
      <c r="I80" s="101">
        <v>20</v>
      </c>
      <c r="J80" s="98">
        <v>19</v>
      </c>
      <c r="K80" s="108">
        <v>20</v>
      </c>
      <c r="L80" s="9" t="s">
        <v>900</v>
      </c>
      <c r="M80" s="9">
        <v>0</v>
      </c>
      <c r="N80" s="9">
        <v>161</v>
      </c>
      <c r="O80" s="9">
        <v>331</v>
      </c>
      <c r="P80" s="9">
        <v>661</v>
      </c>
      <c r="Q80" s="9">
        <v>1301</v>
      </c>
      <c r="R80" s="9">
        <v>2601</v>
      </c>
      <c r="S80" s="9">
        <v>5001</v>
      </c>
      <c r="T80" s="9">
        <v>9001</v>
      </c>
      <c r="U80" s="9">
        <v>23001</v>
      </c>
      <c r="V80" s="9">
        <v>50001</v>
      </c>
      <c r="W80" s="9">
        <v>90001</v>
      </c>
      <c r="X80" s="9">
        <v>130001</v>
      </c>
      <c r="Y80" s="9">
        <f>IFERROR(IF(VLOOKUP(L80,Karakterlap!$P$3:$Z$4,10,FALSE)&gt;13,165001+((VLOOKUP(L80,Karakterlap!$P$3:$Z$4,10,FALSE)-13)*50000),165001),165001)</f>
        <v>165001</v>
      </c>
      <c r="Z80" s="9">
        <v>5</v>
      </c>
      <c r="AA80" s="9">
        <v>17</v>
      </c>
      <c r="AB80" s="9">
        <v>72</v>
      </c>
      <c r="AC80" s="9">
        <v>0</v>
      </c>
      <c r="AD80" s="9">
        <f>IFERROR(VLOOKUP(L80,Karakterlap!$P$3:$Z$4,10,FALSE)*8,8)</f>
        <v>8</v>
      </c>
      <c r="AE80" s="9">
        <f>IFERROR(IF(Karakterlap!$P$5="Váltott kaszt",IF(Karakterlap!$P$3=Adattábla!$L80,Karakterlap!$Y$3*3,IF(Karakterlap!$P$4=Adattábla!$L80,(Karakterlap!$Y$4-Adattábla!$I$20)*3,3)),VLOOKUP(Adattábla!$L80,Karakterlap!$P$3:$Z$4,10,FALSE)*3),3)</f>
        <v>3</v>
      </c>
      <c r="AF80" s="9">
        <f>IFERROR(IF(Karakterlap!$P$5="Váltott kaszt",IF(Karakterlap!$P$3=Adattábla!$L80,Karakterlap!$Y$3*3,IF(Karakterlap!$P$4=Adattábla!$L80,(Karakterlap!$Y$4-Adattábla!$I$20)*3,3)),VLOOKUP(Adattábla!$L80,Karakterlap!$P$3:$Z$4,10,FALSE)*3),3)</f>
        <v>3</v>
      </c>
      <c r="AG80" s="9">
        <v>6</v>
      </c>
      <c r="AH80" s="9">
        <f>IF(Karakterlap!$P$5="Iker kaszt",IF(Karakterlap!$P$3=L80,IFERROR((Karakterlap!$P$6*8)+(VLOOKUP(L80,Karakterlap!$P$3:$Z$4,10,FALSE)-Karakterlap!$P$6),8),IF(Karakterlap!$P$4=L80,VLOOKUP(L80,Karakterlap!$P$3:$Z$4,10,FALSE),8)),IF(Karakterlap!$P$5="Váltott kaszt",IF(L80=Karakterlap!$P$3,(Karakterlap!$Y$3+3)*8,VLOOKUP(L80,Karakterlap!$P$3:$Z$4,10,FALSE)*8),IFERROR(VLOOKUP(L80,Karakterlap!$P$3:$Z$4,10,FALSE)*8,8)))</f>
        <v>8</v>
      </c>
      <c r="AI80" s="9">
        <v>0</v>
      </c>
      <c r="AJ80" s="9">
        <v>6</v>
      </c>
      <c r="AK80" s="9">
        <v>6</v>
      </c>
      <c r="AL80" s="9">
        <f>IFERROR(VLOOKUP(L80,Karakterlap!$P$3:$Z$4,10,FALSE)*($E$18+2),$E$18+2)</f>
        <v>8</v>
      </c>
      <c r="AM80" s="9">
        <f>IFERROR(IF(VLOOKUP(L80,Karakterlap!$P$3:$Z$4,10,FALSE)&gt;1,9+((VLOOKUP(L80,Karakterlap!$P$3:$Z$4,10,FALSE)-1)*((ROUND($E$18/2,0))+6)),9),9)</f>
        <v>9</v>
      </c>
      <c r="AN80" s="9" t="s">
        <v>92</v>
      </c>
      <c r="AO80" s="9" t="str">
        <f>IFERROR((IF(Karakterlap!$F$9&gt;10,Karakterlap!$F$9-10,0))+5+((VLOOKUP(L80,Karakterlap!$P$3:$Z$4,10,FALSE)-1)*4),"más kaszt")</f>
        <v>más kaszt</v>
      </c>
      <c r="AP80" s="9"/>
      <c r="AQ80" s="29"/>
      <c r="AR80" s="29"/>
      <c r="AS80" s="29"/>
      <c r="AT80" s="29">
        <v>10</v>
      </c>
      <c r="AU80" s="29">
        <f>IFERROR(IF(VLOOKUP(L80,Karakterlap!$P$3:$Z$4,10,FALSE)&gt;3,15,0),0)</f>
        <v>0</v>
      </c>
      <c r="AV80" s="29"/>
      <c r="AW80" s="29">
        <v>35</v>
      </c>
      <c r="AX80" s="29"/>
      <c r="AY80" s="29"/>
      <c r="AZ80" s="29"/>
      <c r="BA80" s="9">
        <f>IFERROR(IF(Karakterlap!$P$6&gt;13,165001+((Karakterlap!$P$6-13)*50000),165001),165001)</f>
        <v>165001</v>
      </c>
      <c r="BB80" s="36">
        <f>VLOOKUP("2k6+6",$I$2:$J$11,2,FALSE)+IFERROR(VLOOKUP(Karakterlap!$V$7,$A$24:$C$33,3,FALSE),0)</f>
        <v>13</v>
      </c>
      <c r="BC80" s="36">
        <f>VLOOKUP("2k6+6",$I$2:$J$11,2,FALSE)+IFERROR(VLOOKUP(Karakterlap!$V$7,$A$24:$D$33,4,FALSE),0)</f>
        <v>13</v>
      </c>
      <c r="BD80" s="36">
        <f>VLOOKUP("3k6(2x)",$I$2:$J$11,2,FALSE)+IFERROR(VLOOKUP(Karakterlap!$V$7,$A$24:$E$33,5,FALSE),0)</f>
        <v>11</v>
      </c>
      <c r="BE80" s="36">
        <f>VLOOKUP("3k6(2x)",$I$2:$J$11,2,FALSE)+IFERROR(VLOOKUP(Karakterlap!$V$7,$A$24:$F$33,6,FALSE),0)</f>
        <v>11</v>
      </c>
      <c r="BF80" s="36">
        <f>VLOOKUP("k10+8",$I$2:$J$11,2,FALSE)+IFERROR(VLOOKUP(Karakterlap!$V$7,$A$24:$G$33,7,FALSE),0)</f>
        <v>14</v>
      </c>
      <c r="BG80" s="48">
        <f>VLOOKUP("k10+10",$I$2:$J$11,2,FALSE)+IFERROR(VLOOKUP(Karakterlap!$V$7,$A$24:$H$33,8,FALSE),0)</f>
        <v>16</v>
      </c>
      <c r="BH80" s="36">
        <f>VLOOKUP("k10+8",$I$2:$J$11,2,FALSE)+IFERROR(VLOOKUP(Karakterlap!$V$7,$A$24:$I$33,9,FALSE),0)</f>
        <v>14</v>
      </c>
      <c r="BI80" s="36">
        <f t="shared" si="4"/>
        <v>14</v>
      </c>
      <c r="BJ80" s="36">
        <f>VLOOKUP("k6+12",$I$2:$J$11,2,FALSE)+IFERROR(VLOOKUP(Karakterlap!$V$7,$A$24:$J$33,10,FALSE),0)</f>
        <v>16</v>
      </c>
      <c r="BK80" s="36">
        <f t="shared" si="5"/>
        <v>14</v>
      </c>
      <c r="BL80" s="36">
        <f>IF((SUM(Karakterlap!$F$3:$F$12)-SUM(BB80:BK80))&lt;0,0,SUM(Karakterlap!$F$3:$F$12)-SUM(BB80:BK80))</f>
        <v>0</v>
      </c>
      <c r="BM80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80&gt;18,BI80,18))&gt;0,Karakterlap!$F$10-IF(BI80&gt;18,BI80,18),0),0)+IF(Karakterlap!$F$11&gt;(18+IFERROR(VLOOKUP(Karakterlap!$V$7,$A$24:$J$33,10,FALSE),0)),(Karakterlap!$F$11-(18+IFERROR(VLOOKUP(Karakterlap!$V$7,$A$24:$J$33,10,FALSE),0))),0)+IF(Karakterlap!$F$12&gt;18,IF((Karakterlap!$F$12-IF(BK80&gt;18,BK80,18))&gt;0,Karakterlap!$F$12-IF(BK80&gt;18,BK80,18),0),0)</f>
        <v>#VALUE!</v>
      </c>
      <c r="BU80" t="s">
        <v>977</v>
      </c>
      <c r="BV80" t="s">
        <v>977</v>
      </c>
      <c r="BW80" s="5"/>
      <c r="BX80" s="97" t="s">
        <v>189</v>
      </c>
      <c r="BY80" s="97" t="s">
        <v>189</v>
      </c>
      <c r="BZ80" s="97" t="s">
        <v>187</v>
      </c>
      <c r="CA80" s="97" t="s">
        <v>187</v>
      </c>
      <c r="CB80" s="97" t="s">
        <v>190</v>
      </c>
      <c r="CC80" s="97" t="s">
        <v>193</v>
      </c>
      <c r="CD80" s="97" t="s">
        <v>190</v>
      </c>
      <c r="CE80" s="97" t="s">
        <v>190</v>
      </c>
      <c r="CF80" s="97" t="s">
        <v>192</v>
      </c>
      <c r="CG80" s="97" t="s">
        <v>190</v>
      </c>
    </row>
    <row r="81" spans="1:85" ht="16" thickBot="1" x14ac:dyDescent="0.25">
      <c r="A81" s="113" t="s">
        <v>184</v>
      </c>
      <c r="B81" s="117">
        <v>20</v>
      </c>
      <c r="C81" s="109">
        <v>21</v>
      </c>
      <c r="D81" s="109">
        <v>21</v>
      </c>
      <c r="E81" s="118">
        <v>20</v>
      </c>
      <c r="F81" s="118">
        <v>20</v>
      </c>
      <c r="G81" s="118">
        <v>20</v>
      </c>
      <c r="H81" s="109">
        <v>23</v>
      </c>
      <c r="I81" s="118">
        <v>20</v>
      </c>
      <c r="J81" s="109">
        <v>19</v>
      </c>
      <c r="K81" s="110">
        <v>20</v>
      </c>
      <c r="L81" s="9" t="s">
        <v>902</v>
      </c>
      <c r="M81" s="9">
        <v>0</v>
      </c>
      <c r="N81" s="9">
        <v>161</v>
      </c>
      <c r="O81" s="9">
        <v>331</v>
      </c>
      <c r="P81" s="9">
        <v>661</v>
      </c>
      <c r="Q81" s="9">
        <v>1301</v>
      </c>
      <c r="R81" s="9">
        <v>2601</v>
      </c>
      <c r="S81" s="9">
        <v>5001</v>
      </c>
      <c r="T81" s="9">
        <v>9001</v>
      </c>
      <c r="U81" s="9">
        <v>23001</v>
      </c>
      <c r="V81" s="9">
        <v>50001</v>
      </c>
      <c r="W81" s="9">
        <v>90001</v>
      </c>
      <c r="X81" s="9">
        <v>130001</v>
      </c>
      <c r="Y81" s="9">
        <f>IFERROR(IF(VLOOKUP(L81,Karakterlap!$P$3:$Z$4,10,FALSE)&gt;13,165001+((VLOOKUP(L81,Karakterlap!$P$3:$Z$4,10,FALSE)-13)*50000),165001),165001)</f>
        <v>165001</v>
      </c>
      <c r="Z81" s="9">
        <v>5</v>
      </c>
      <c r="AA81" s="9">
        <v>17</v>
      </c>
      <c r="AB81" s="9">
        <v>72</v>
      </c>
      <c r="AC81" s="9">
        <v>0</v>
      </c>
      <c r="AD81" s="9">
        <f>IFERROR(VLOOKUP(L81,Karakterlap!$P$3:$Z$4,10,FALSE)*8,8)</f>
        <v>8</v>
      </c>
      <c r="AE81" s="9">
        <f>IFERROR(IF(Karakterlap!$P$5="Váltott kaszt",IF(Karakterlap!$P$3=Adattábla!$L81,Karakterlap!$Y$3*3,IF(Karakterlap!$P$4=Adattábla!$L81,(Karakterlap!$Y$4-Adattábla!$I$20)*3,3)),VLOOKUP(Adattábla!$L81,Karakterlap!$P$3:$Z$4,10,FALSE)*3),3)</f>
        <v>3</v>
      </c>
      <c r="AF81" s="9">
        <f>IFERROR(IF(Karakterlap!$P$5="Váltott kaszt",IF(Karakterlap!$P$3=Adattábla!$L81,Karakterlap!$Y$3*3,IF(Karakterlap!$P$4=Adattábla!$L81,(Karakterlap!$Y$4-Adattábla!$I$20)*3,3)),VLOOKUP(Adattábla!$L81,Karakterlap!$P$3:$Z$4,10,FALSE)*3),3)</f>
        <v>3</v>
      </c>
      <c r="AG81" s="9">
        <v>6</v>
      </c>
      <c r="AH81" s="9">
        <f>IF(Karakterlap!$P$5="Iker kaszt",IF(Karakterlap!$P$3=L81,IFERROR((Karakterlap!$P$6*10)+(VLOOKUP(L81,Karakterlap!$P$3:$Z$4,10,FALSE)-Karakterlap!$P$6),10),IF(Karakterlap!$P$4=L81,VLOOKUP(L81,Karakterlap!$P$3:$Z$4,10,FALSE),10)),IF(Karakterlap!$P$5="Váltott kaszt",IF(L81=Karakterlap!$P$3,(Karakterlap!$Y$3+3)*10,VLOOKUP(L81,Karakterlap!$P$3:$Z$4,10,FALSE)*10),IFERROR(VLOOKUP(L81,Karakterlap!$P$3:$Z$4,10,FALSE)*10,10)))</f>
        <v>10</v>
      </c>
      <c r="AI81" s="9">
        <v>0</v>
      </c>
      <c r="AJ81" s="9">
        <v>6</v>
      </c>
      <c r="AK81" s="9">
        <v>6</v>
      </c>
      <c r="AL81" s="9">
        <f>IFERROR(VLOOKUP(L81,Karakterlap!$P$3:$Z$4,10,FALSE)*($E$18+2),$E$18+2)</f>
        <v>8</v>
      </c>
      <c r="AM81" s="9">
        <f>IFERROR(IF(VLOOKUP(L81,Karakterlap!$P$3:$Z$4,10,FALSE)&gt;1,9+((VLOOKUP(L81,Karakterlap!$P$3:$Z$4,10,FALSE)-1)*((ROUND($E$18/2,0))+6)),9),9)</f>
        <v>9</v>
      </c>
      <c r="AN81" s="9" t="s">
        <v>92</v>
      </c>
      <c r="AO81" s="9" t="str">
        <f>IFERROR((IF(Karakterlap!$F$9&gt;10,Karakterlap!$F$9-10,0))+5+((VLOOKUP(L81,Karakterlap!$P$3:$Z$4,10,FALSE)-1)*4),"más kaszt")</f>
        <v>más kaszt</v>
      </c>
      <c r="AP81" s="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9">
        <f>IFERROR(IF(Karakterlap!$P$6&gt;13,165001+((Karakterlap!$P$6-13)*50000),165001),165001)</f>
        <v>165001</v>
      </c>
      <c r="BB81" s="36">
        <f>VLOOKUP("2k6+6",$I$2:$J$11,2,FALSE)+IFERROR(VLOOKUP(Karakterlap!$V$7,$A$24:$C$33,3,FALSE),0)</f>
        <v>13</v>
      </c>
      <c r="BC81" s="36">
        <f>VLOOKUP("2k6+6",$I$2:$J$11,2,FALSE)+IFERROR(VLOOKUP(Karakterlap!$V$7,$A$24:$D$33,4,FALSE),0)</f>
        <v>13</v>
      </c>
      <c r="BD81" s="36">
        <f>VLOOKUP("3k6(2x)",$I$2:$J$11,2,FALSE)+IFERROR(VLOOKUP(Karakterlap!$V$7,$A$24:$E$33,5,FALSE),0)</f>
        <v>11</v>
      </c>
      <c r="BE81" s="36">
        <f>VLOOKUP("3k6(2x)",$I$2:$J$11,2,FALSE)+IFERROR(VLOOKUP(Karakterlap!$V$7,$A$24:$F$33,6,FALSE),0)</f>
        <v>11</v>
      </c>
      <c r="BF81" s="36">
        <f>VLOOKUP("k10+8",$I$2:$J$11,2,FALSE)+IFERROR(VLOOKUP(Karakterlap!$V$7,$A$24:$G$33,7,FALSE),0)</f>
        <v>14</v>
      </c>
      <c r="BG81" s="48">
        <f>VLOOKUP("k10+10",$I$2:$J$11,2,FALSE)+IFERROR(VLOOKUP(Karakterlap!$V$7,$A$24:$H$33,8,FALSE),0)</f>
        <v>16</v>
      </c>
      <c r="BH81" s="36">
        <f>VLOOKUP("k10+8",$I$2:$J$11,2,FALSE)+IFERROR(VLOOKUP(Karakterlap!$V$7,$A$24:$I$33,9,FALSE),0)</f>
        <v>14</v>
      </c>
      <c r="BI81" s="36">
        <f t="shared" si="4"/>
        <v>14</v>
      </c>
      <c r="BJ81" s="36">
        <f>VLOOKUP("k6+12",$I$2:$J$11,2,FALSE)+IFERROR(VLOOKUP(Karakterlap!$V$7,$A$24:$J$33,10,FALSE),0)</f>
        <v>16</v>
      </c>
      <c r="BK81" s="36">
        <f t="shared" si="5"/>
        <v>14</v>
      </c>
      <c r="BL81" s="36">
        <f>IF((SUM(Karakterlap!$F$3:$F$12)-SUM(BB81:BK81))&lt;0,0,SUM(Karakterlap!$F$3:$F$12)-SUM(BB81:BK81))</f>
        <v>0</v>
      </c>
      <c r="BM81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81&gt;18,BI81,18))&gt;0,Karakterlap!$F$10-IF(BI81&gt;18,BI81,18),0),0)+IF(Karakterlap!$F$11&gt;(18+IFERROR(VLOOKUP(Karakterlap!$V$7,$A$24:$J$33,10,FALSE),0)),(Karakterlap!$F$11-(18+IFERROR(VLOOKUP(Karakterlap!$V$7,$A$24:$J$33,10,FALSE),0))),0)+IF(Karakterlap!$F$12&gt;18,IF((Karakterlap!$F$12-IF(BK81&gt;18,BK81,18))&gt;0,Karakterlap!$F$12-IF(BK81&gt;18,BK81,18),0),0)</f>
        <v>#VALUE!</v>
      </c>
      <c r="BN81" t="s">
        <v>977</v>
      </c>
      <c r="BT81" t="s">
        <v>977</v>
      </c>
      <c r="BU81" t="s">
        <v>977</v>
      </c>
      <c r="BV81" t="s">
        <v>977</v>
      </c>
      <c r="BW81" s="5"/>
      <c r="BX81" s="97" t="s">
        <v>189</v>
      </c>
      <c r="BY81" s="97" t="s">
        <v>189</v>
      </c>
      <c r="BZ81" s="97" t="s">
        <v>187</v>
      </c>
      <c r="CA81" s="97" t="s">
        <v>187</v>
      </c>
      <c r="CB81" s="97" t="s">
        <v>190</v>
      </c>
      <c r="CC81" s="97" t="s">
        <v>193</v>
      </c>
      <c r="CD81" s="97" t="s">
        <v>190</v>
      </c>
      <c r="CE81" s="97" t="s">
        <v>190</v>
      </c>
      <c r="CF81" s="97" t="s">
        <v>192</v>
      </c>
      <c r="CG81" s="97" t="s">
        <v>190</v>
      </c>
    </row>
    <row r="82" spans="1:85" x14ac:dyDescent="0.2">
      <c r="L82" s="9" t="s">
        <v>903</v>
      </c>
      <c r="M82" s="9">
        <v>0</v>
      </c>
      <c r="N82" s="9">
        <v>161</v>
      </c>
      <c r="O82" s="9">
        <v>331</v>
      </c>
      <c r="P82" s="9">
        <v>661</v>
      </c>
      <c r="Q82" s="9">
        <v>1301</v>
      </c>
      <c r="R82" s="9">
        <v>2601</v>
      </c>
      <c r="S82" s="9">
        <v>5001</v>
      </c>
      <c r="T82" s="9">
        <v>9001</v>
      </c>
      <c r="U82" s="9">
        <v>23001</v>
      </c>
      <c r="V82" s="9">
        <v>50001</v>
      </c>
      <c r="W82" s="9">
        <v>90001</v>
      </c>
      <c r="X82" s="9">
        <v>130001</v>
      </c>
      <c r="Y82" s="9">
        <f>IFERROR(IF(VLOOKUP(L82,Karakterlap!$P$3:$Z$4,10,FALSE)&gt;13,165001+((VLOOKUP(L82,Karakterlap!$P$3:$Z$4,10,FALSE)-13)*50000),165001),165001)</f>
        <v>165001</v>
      </c>
      <c r="Z82" s="9">
        <v>5</v>
      </c>
      <c r="AA82" s="9">
        <v>17</v>
      </c>
      <c r="AB82" s="9">
        <v>72</v>
      </c>
      <c r="AC82" s="9">
        <v>0</v>
      </c>
      <c r="AD82" s="9">
        <f>IFERROR(VLOOKUP(L82,Karakterlap!$P$3:$Z$4,10,FALSE)*8,8)</f>
        <v>8</v>
      </c>
      <c r="AE82" s="9">
        <f>IFERROR(IF(Karakterlap!$P$5="Váltott kaszt",IF(Karakterlap!$P$3=Adattábla!$L82,Karakterlap!$Y$3*3,IF(Karakterlap!$P$4=Adattábla!$L82,(Karakterlap!$Y$4-Adattábla!$I$20)*3,3)),VLOOKUP(Adattábla!$L82,Karakterlap!$P$3:$Z$4,10,FALSE)*3),3)</f>
        <v>3</v>
      </c>
      <c r="AF82" s="9">
        <f>IFERROR(IF(Karakterlap!$P$5="Váltott kaszt",IF(Karakterlap!$P$3=Adattábla!$L82,Karakterlap!$Y$3*3,IF(Karakterlap!$P$4=Adattábla!$L82,(Karakterlap!$Y$4-Adattábla!$I$20)*3,3)),VLOOKUP(Adattábla!$L82,Karakterlap!$P$3:$Z$4,10,FALSE)*3),3)</f>
        <v>3</v>
      </c>
      <c r="AG82" s="9">
        <v>6</v>
      </c>
      <c r="AH82" s="9">
        <f>IF(Karakterlap!$P$5="Iker kaszt",IF(Karakterlap!$P$3=L82,IFERROR((Karakterlap!$P$6*10)+(VLOOKUP(L82,Karakterlap!$P$3:$Z$4,10,FALSE)-Karakterlap!$P$6),10),IF(Karakterlap!$P$4=L82,VLOOKUP(L82,Karakterlap!$P$3:$Z$4,10,FALSE),10)),IF(Karakterlap!$P$5="Váltott kaszt",IF(L82=Karakterlap!$P$3,(Karakterlap!$Y$3+3)*10,VLOOKUP(L82,Karakterlap!$P$3:$Z$4,10,FALSE)*10),IFERROR(VLOOKUP(L82,Karakterlap!$P$3:$Z$4,10,FALSE)*10,10)))</f>
        <v>10</v>
      </c>
      <c r="AI82" s="9">
        <v>0</v>
      </c>
      <c r="AJ82" s="9">
        <v>6</v>
      </c>
      <c r="AK82" s="9">
        <v>6</v>
      </c>
      <c r="AL82" s="9">
        <f>IFERROR(VLOOKUP(L82,Karakterlap!$P$3:$Z$4,10,FALSE)*($E$18+2),$E$18+2)</f>
        <v>8</v>
      </c>
      <c r="AM82" s="9">
        <f>IFERROR(IF(VLOOKUP(L82,Karakterlap!$P$3:$Z$4,10,FALSE)&gt;1,9+((VLOOKUP(L82,Karakterlap!$P$3:$Z$4,10,FALSE)-1)*((ROUND($E$18/2,0))+6)),9),9)</f>
        <v>9</v>
      </c>
      <c r="AN82" s="9" t="s">
        <v>92</v>
      </c>
      <c r="AO82" s="9" t="str">
        <f>IFERROR((IF(Karakterlap!$F$9&gt;10,Karakterlap!$F$9-10,0))+5+((VLOOKUP(L82,Karakterlap!$P$3:$Z$4,10,FALSE)-1)*4),"más kaszt")</f>
        <v>más kaszt</v>
      </c>
      <c r="AP82" s="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9">
        <f>IFERROR(IF(Karakterlap!$P$6&gt;13,165001+((Karakterlap!$P$6-13)*50000),165001),165001)</f>
        <v>165001</v>
      </c>
      <c r="BB82" s="36">
        <f>VLOOKUP("2k6+6",$I$2:$J$11,2,FALSE)+IFERROR(VLOOKUP(Karakterlap!$V$7,$A$24:$C$33,3,FALSE),0)</f>
        <v>13</v>
      </c>
      <c r="BC82" s="36">
        <f>VLOOKUP("2k6+6",$I$2:$J$11,2,FALSE)+IFERROR(VLOOKUP(Karakterlap!$V$7,$A$24:$D$33,4,FALSE),0)</f>
        <v>13</v>
      </c>
      <c r="BD82" s="36">
        <f>VLOOKUP("3k6(2x)",$I$2:$J$11,2,FALSE)+IFERROR(VLOOKUP(Karakterlap!$V$7,$A$24:$E$33,5,FALSE),0)</f>
        <v>11</v>
      </c>
      <c r="BE82" s="36">
        <f>VLOOKUP("3k6(2x)",$I$2:$J$11,2,FALSE)+IFERROR(VLOOKUP(Karakterlap!$V$7,$A$24:$F$33,6,FALSE),0)</f>
        <v>11</v>
      </c>
      <c r="BF82" s="36">
        <f>VLOOKUP("k10+8",$I$2:$J$11,2,FALSE)+IFERROR(VLOOKUP(Karakterlap!$V$7,$A$24:$G$33,7,FALSE),0)</f>
        <v>14</v>
      </c>
      <c r="BG82" s="48">
        <f>VLOOKUP("k10+10",$I$2:$J$11,2,FALSE)+IFERROR(VLOOKUP(Karakterlap!$V$7,$A$24:$H$33,8,FALSE),0)</f>
        <v>16</v>
      </c>
      <c r="BH82" s="36">
        <f>VLOOKUP("k10+8",$I$2:$J$11,2,FALSE)+IFERROR(VLOOKUP(Karakterlap!$V$7,$A$24:$I$33,9,FALSE),0)</f>
        <v>14</v>
      </c>
      <c r="BI82" s="36">
        <f t="shared" si="4"/>
        <v>14</v>
      </c>
      <c r="BJ82" s="36">
        <f>VLOOKUP("k6+12",$I$2:$J$11,2,FALSE)+IFERROR(VLOOKUP(Karakterlap!$V$7,$A$24:$J$33,10,FALSE),0)</f>
        <v>16</v>
      </c>
      <c r="BK82" s="36">
        <f t="shared" si="5"/>
        <v>14</v>
      </c>
      <c r="BL82" s="36">
        <f>IF((SUM(Karakterlap!$F$3:$F$12)-SUM(BB82:BK82))&lt;0,0,SUM(Karakterlap!$F$3:$F$12)-SUM(BB82:BK82))</f>
        <v>0</v>
      </c>
      <c r="BM82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82&gt;18,BI82,18))&gt;0,Karakterlap!$F$10-IF(BI82&gt;18,BI82,18),0),0)+IF(Karakterlap!$F$11&gt;(18+IFERROR(VLOOKUP(Karakterlap!$V$7,$A$24:$J$33,10,FALSE),0)),(Karakterlap!$F$11-(18+IFERROR(VLOOKUP(Karakterlap!$V$7,$A$24:$J$33,10,FALSE),0))),0)+IF(Karakterlap!$F$12&gt;18,IF((Karakterlap!$F$12-IF(BK82&gt;18,BK82,18))&gt;0,Karakterlap!$F$12-IF(BK82&gt;18,BK82,18),0),0)</f>
        <v>#VALUE!</v>
      </c>
      <c r="BU82" t="s">
        <v>977</v>
      </c>
      <c r="BV82" t="s">
        <v>977</v>
      </c>
      <c r="BW82" s="5"/>
      <c r="BX82" s="97" t="s">
        <v>189</v>
      </c>
      <c r="BY82" s="97" t="s">
        <v>189</v>
      </c>
      <c r="BZ82" s="97" t="s">
        <v>187</v>
      </c>
      <c r="CA82" s="97" t="s">
        <v>187</v>
      </c>
      <c r="CB82" s="97" t="s">
        <v>190</v>
      </c>
      <c r="CC82" s="97" t="s">
        <v>193</v>
      </c>
      <c r="CD82" s="97" t="s">
        <v>190</v>
      </c>
      <c r="CE82" s="97" t="s">
        <v>190</v>
      </c>
      <c r="CF82" s="97" t="s">
        <v>192</v>
      </c>
      <c r="CG82" s="97" t="s">
        <v>190</v>
      </c>
    </row>
    <row r="83" spans="1:85" x14ac:dyDescent="0.2">
      <c r="L83" s="9" t="s">
        <v>912</v>
      </c>
      <c r="M83" s="9">
        <v>0</v>
      </c>
      <c r="N83" s="9">
        <v>161</v>
      </c>
      <c r="O83" s="9">
        <v>331</v>
      </c>
      <c r="P83" s="9">
        <v>661</v>
      </c>
      <c r="Q83" s="9">
        <v>1301</v>
      </c>
      <c r="R83" s="9">
        <v>2601</v>
      </c>
      <c r="S83" s="9">
        <v>5001</v>
      </c>
      <c r="T83" s="9">
        <v>9001</v>
      </c>
      <c r="U83" s="9">
        <v>23001</v>
      </c>
      <c r="V83" s="9">
        <v>50001</v>
      </c>
      <c r="W83" s="9">
        <v>90001</v>
      </c>
      <c r="X83" s="9">
        <v>130001</v>
      </c>
      <c r="Y83" s="9">
        <f>IFERROR(IF(VLOOKUP(L83,Karakterlap!$P$3:$Z$4,10,FALSE)&gt;13,165001+((VLOOKUP(L83,Karakterlap!$P$3:$Z$4,10,FALSE)-13)*50000),165001),165001)</f>
        <v>165001</v>
      </c>
      <c r="Z83" s="9">
        <v>5</v>
      </c>
      <c r="AA83" s="9">
        <v>17</v>
      </c>
      <c r="AB83" s="9">
        <v>72</v>
      </c>
      <c r="AC83" s="9">
        <v>0</v>
      </c>
      <c r="AD83" s="9">
        <f>IFERROR(VLOOKUP(L83,Karakterlap!$P$3:$Z$4,10,FALSE)*8,8)</f>
        <v>8</v>
      </c>
      <c r="AE83" s="9">
        <f>IFERROR(IF(Karakterlap!$P$5="Váltott kaszt",IF(Karakterlap!$P$3=Adattábla!$L83,Karakterlap!$Y$3*3,IF(Karakterlap!$P$4=Adattábla!$L83,(Karakterlap!$Y$4-Adattábla!$I$20)*3,3)),VLOOKUP(Adattábla!$L83,Karakterlap!$P$3:$Z$4,10,FALSE)*3),3)</f>
        <v>3</v>
      </c>
      <c r="AF83" s="9">
        <f>IFERROR(IF(Karakterlap!$P$5="Váltott kaszt",IF(Karakterlap!$P$3=Adattábla!$L83,Karakterlap!$Y$3*3,IF(Karakterlap!$P$4=Adattábla!$L83,(Karakterlap!$Y$4-Adattábla!$I$20)*3,3)),VLOOKUP(Adattábla!$L83,Karakterlap!$P$3:$Z$4,10,FALSE)*3),3)</f>
        <v>3</v>
      </c>
      <c r="AG83" s="9">
        <v>6</v>
      </c>
      <c r="AH83" s="9">
        <f>IF(Karakterlap!$P$5="Iker kaszt",IF(Karakterlap!$P$3=L83,IFERROR((Karakterlap!$P$6*10)+(VLOOKUP(L83,Karakterlap!$P$3:$Z$4,10,FALSE)-Karakterlap!$P$6),10),IF(Karakterlap!$P$4=L83,VLOOKUP(L83,Karakterlap!$P$3:$Z$4,10,FALSE),10)),IF(Karakterlap!$P$5="Váltott kaszt",IF(L83=Karakterlap!$P$3,(Karakterlap!$Y$3+3)*10,VLOOKUP(L83,Karakterlap!$P$3:$Z$4,10,FALSE)*10),IFERROR(VLOOKUP(L83,Karakterlap!$P$3:$Z$4,10,FALSE)*10,10)))</f>
        <v>10</v>
      </c>
      <c r="AI83" s="9">
        <v>0</v>
      </c>
      <c r="AJ83" s="9">
        <v>6</v>
      </c>
      <c r="AK83" s="9">
        <v>6</v>
      </c>
      <c r="AL83" s="9">
        <f>IFERROR(VLOOKUP(L83,Karakterlap!$P$3:$Z$4,10,FALSE)*($E$18+2),$E$18+2)</f>
        <v>8</v>
      </c>
      <c r="AM83" s="9">
        <f>IFERROR(VLOOKUP(L83,Karakterlap!$P$3:$Z$4,10,FALSE)*8,0)</f>
        <v>0</v>
      </c>
      <c r="AN83" s="9" t="s">
        <v>92</v>
      </c>
      <c r="AO83" s="9" t="str">
        <f>IFERROR((IF(Karakterlap!$F$9&gt;10,Karakterlap!$F$9-10,0))+5+((VLOOKUP(L83,Karakterlap!$P$3:$Z$4,10,FALSE)-1)*4),"más kaszt")</f>
        <v>más kaszt</v>
      </c>
      <c r="AP83" s="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9">
        <f>IFERROR(IF(Karakterlap!$P$6&gt;13,165001+((Karakterlap!$P$6-13)*50000),165001),165001)</f>
        <v>165001</v>
      </c>
      <c r="BB83" s="47">
        <f>VLOOKUP("2k6+6",$I$2:$J$11,2,FALSE)+IFERROR(VLOOKUP(Karakterlap!$V$7,$A$24:$C$33,3,FALSE),0)</f>
        <v>13</v>
      </c>
      <c r="BC83" s="47">
        <f>VLOOKUP("2k6+6",$I$2:$J$11,2,FALSE)+IFERROR(VLOOKUP(Karakterlap!$V$7,$A$24:$D$33,4,FALSE),0)</f>
        <v>13</v>
      </c>
      <c r="BD83" s="47">
        <f>VLOOKUP("3k6(2x)",$I$2:$J$11,2,FALSE)+IFERROR(VLOOKUP(Karakterlap!$V$7,$A$24:$E$33,5,FALSE),0)</f>
        <v>11</v>
      </c>
      <c r="BE83" s="47">
        <f>VLOOKUP("3k6(2x)",$I$2:$J$11,2,FALSE)+IFERROR(VLOOKUP(Karakterlap!$V$7,$A$24:$F$33,6,FALSE),0)</f>
        <v>11</v>
      </c>
      <c r="BF83" s="47">
        <f>VLOOKUP("k10+8",$I$2:$J$11,2,FALSE)+IFERROR(VLOOKUP(Karakterlap!$V$7,$A$24:$G$33,7,FALSE),0)</f>
        <v>14</v>
      </c>
      <c r="BG83" s="48">
        <f>VLOOKUP("k10+10",$I$2:$J$11,2,FALSE)+IFERROR(VLOOKUP(Karakterlap!$V$7,$A$24:$H$33,8,FALSE),0)</f>
        <v>16</v>
      </c>
      <c r="BH83" s="47">
        <f>VLOOKUP("k10+8",$I$2:$J$11,2,FALSE)+IFERROR(VLOOKUP(Karakterlap!$V$7,$A$24:$I$33,9,FALSE),0)</f>
        <v>14</v>
      </c>
      <c r="BI83" s="47">
        <f>VLOOKUP("k10+8",$I$2:$J$11,2,FALSE)</f>
        <v>14</v>
      </c>
      <c r="BJ83" s="47">
        <f>VLOOKUP("k6+12",$I$2:$J$11,2,FALSE)+IFERROR(VLOOKUP(Karakterlap!$V$7,$A$24:$J$33,10,FALSE),0)</f>
        <v>16</v>
      </c>
      <c r="BK83" s="47">
        <f>VLOOKUP("k10+8",$I$2:$J$11,2,FALSE)</f>
        <v>14</v>
      </c>
      <c r="BL83" s="47">
        <f>IF((SUM(Karakterlap!$F$3:$F$12)-SUM(BB83:BK83))&lt;0,0,SUM(Karakterlap!$F$3:$F$12)-SUM(BB83:BK83))</f>
        <v>0</v>
      </c>
      <c r="BM83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83&gt;18,BI83,18))&gt;0,Karakterlap!$F$10-IF(BI83&gt;18,BI83,18),0),0)+IF(Karakterlap!$F$11&gt;(18+IFERROR(VLOOKUP(Karakterlap!$V$7,$A$24:$J$33,10,FALSE),0)),(Karakterlap!$F$11-(18+IFERROR(VLOOKUP(Karakterlap!$V$7,$A$24:$J$33,10,FALSE),0))),0)+IF(Karakterlap!$F$12&gt;18,IF((Karakterlap!$F$12-IF(BK83&gt;18,BK83,18))&gt;0,Karakterlap!$F$12-IF(BK83&gt;18,BK83,18),0),0)</f>
        <v>#VALUE!</v>
      </c>
      <c r="BU83" t="s">
        <v>977</v>
      </c>
      <c r="BV83" t="s">
        <v>977</v>
      </c>
      <c r="BW83" s="5"/>
      <c r="BX83" s="97" t="s">
        <v>189</v>
      </c>
      <c r="BY83" s="97" t="s">
        <v>189</v>
      </c>
      <c r="BZ83" s="97" t="s">
        <v>187</v>
      </c>
      <c r="CA83" s="97" t="s">
        <v>187</v>
      </c>
      <c r="CB83" s="97" t="s">
        <v>190</v>
      </c>
      <c r="CC83" s="97" t="s">
        <v>193</v>
      </c>
      <c r="CD83" s="97" t="s">
        <v>190</v>
      </c>
      <c r="CE83" s="97" t="s">
        <v>190</v>
      </c>
      <c r="CF83" s="97" t="s">
        <v>192</v>
      </c>
      <c r="CG83" s="97" t="s">
        <v>190</v>
      </c>
    </row>
    <row r="84" spans="1:85" x14ac:dyDescent="0.2">
      <c r="L84" s="9" t="s">
        <v>917</v>
      </c>
      <c r="M84" s="9">
        <v>0</v>
      </c>
      <c r="N84" s="9">
        <v>161</v>
      </c>
      <c r="O84" s="9">
        <v>331</v>
      </c>
      <c r="P84" s="9">
        <v>661</v>
      </c>
      <c r="Q84" s="9">
        <v>1301</v>
      </c>
      <c r="R84" s="9">
        <v>2601</v>
      </c>
      <c r="S84" s="9">
        <v>5001</v>
      </c>
      <c r="T84" s="9">
        <v>9001</v>
      </c>
      <c r="U84" s="9">
        <v>23001</v>
      </c>
      <c r="V84" s="9">
        <v>50001</v>
      </c>
      <c r="W84" s="9">
        <v>90001</v>
      </c>
      <c r="X84" s="9">
        <v>130001</v>
      </c>
      <c r="Y84" s="9">
        <f>IFERROR(IF(VLOOKUP(L84,Karakterlap!$P$3:$Z$4,10,FALSE)&gt;13,165001+((VLOOKUP(L84,Karakterlap!$P$3:$Z$4,10,FALSE)-13)*50000),165001),165001)</f>
        <v>165001</v>
      </c>
      <c r="Z84" s="9">
        <v>5</v>
      </c>
      <c r="AA84" s="9">
        <v>20</v>
      </c>
      <c r="AB84" s="9">
        <v>75</v>
      </c>
      <c r="AC84" s="9">
        <v>0</v>
      </c>
      <c r="AD84" s="9">
        <f>IFERROR(VLOOKUP(L84,Karakterlap!$P$3:$Z$4,10,FALSE)*10,10)</f>
        <v>10</v>
      </c>
      <c r="AE84" s="9">
        <f>IFERROR(IF(Karakterlap!$P$5="Váltott kaszt",IF(Karakterlap!$P$3=Adattábla!$L84,Karakterlap!$Y$3*3,IF(Karakterlap!$P$4=Adattábla!$L84,(Karakterlap!$Y$4-Adattábla!$I$20)*3,3)),VLOOKUP(Adattábla!$L84,Karakterlap!$P$3:$Z$4,10,FALSE)*3),3)</f>
        <v>3</v>
      </c>
      <c r="AF84" s="9">
        <f>IFERROR(IF(Karakterlap!$P$5="Váltott kaszt",IF(Karakterlap!$P$3=Adattábla!$L84,Karakterlap!$Y$3*3,IF(Karakterlap!$P$4=Adattábla!$L84,(Karakterlap!$Y$4-Adattábla!$I$20)*3,3)),VLOOKUP(Adattábla!$L84,Karakterlap!$P$3:$Z$4,10,FALSE)*3),3)</f>
        <v>3</v>
      </c>
      <c r="AG84" s="9">
        <v>6</v>
      </c>
      <c r="AH84" s="9">
        <f>IF(Karakterlap!$P$5="Iker kaszt",IF(Karakterlap!$P$3=L84,IFERROR((Karakterlap!$P$6*10)+(VLOOKUP(L84,Karakterlap!$P$3:$Z$4,10,FALSE)-Karakterlap!$P$6),10),IF(Karakterlap!$P$4=L84,VLOOKUP(L84,Karakterlap!$P$3:$Z$4,10,FALSE),10)),IF(Karakterlap!$P$5="Váltott kaszt",IF(L84=Karakterlap!$P$3,(Karakterlap!$Y$3+3)*10,VLOOKUP(L84,Karakterlap!$P$3:$Z$4,10,FALSE)*10),IFERROR(VLOOKUP(L84,Karakterlap!$P$3:$Z$4,10,FALSE)*10,10)))</f>
        <v>10</v>
      </c>
      <c r="AI84" s="9">
        <v>0</v>
      </c>
      <c r="AJ84" s="9">
        <v>6</v>
      </c>
      <c r="AK84" s="9">
        <v>6</v>
      </c>
      <c r="AL84" s="9">
        <f>IFERROR(VLOOKUP(L84,Karakterlap!$P$3:$Z$4,10,FALSE)*($E$18+2),$E$18+2)</f>
        <v>8</v>
      </c>
      <c r="AM84" s="9">
        <f>IFERROR(VLOOKUP(L84,Karakterlap!$P$3:$Z$4,10,FALSE)*7,0)</f>
        <v>0</v>
      </c>
      <c r="AN84" s="9" t="s">
        <v>92</v>
      </c>
      <c r="AO84" s="9" t="str">
        <f>IFERROR((IF(Karakterlap!$F$9&gt;10,Karakterlap!$F$9-10,0))+5+((VLOOKUP(L84,Karakterlap!$P$3:$Z$4,10,FALSE)-1)*4),"más kaszt")</f>
        <v>más kaszt</v>
      </c>
      <c r="AP84" s="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9">
        <f>IFERROR(IF(Karakterlap!$P$6&gt;13,165001+((Karakterlap!$P$6-13)*50000),165001),165001)</f>
        <v>165001</v>
      </c>
      <c r="BB84" s="47">
        <f>VLOOKUP("k6+12",$I$2:$J$11,2,FALSE)+IFERROR(VLOOKUP(Karakterlap!$V$7,$A$24:$C$33,3,FALSE),0)</f>
        <v>16</v>
      </c>
      <c r="BC84" s="47">
        <f>VLOOKUP("2k6+6",$I$2:$J$11,2,FALSE)+IFERROR(VLOOKUP(Karakterlap!$V$7,$A$24:$D$33,4,FALSE),0)</f>
        <v>13</v>
      </c>
      <c r="BD84" s="47">
        <f>VLOOKUP("3k6(2x)",$I$2:$J$11,2,FALSE)+IFERROR(VLOOKUP(Karakterlap!$V$7,$A$24:$E$33,5,FALSE),0)</f>
        <v>11</v>
      </c>
      <c r="BE84" s="47">
        <f>VLOOKUP("3k6(2x)",$I$2:$J$11,2,FALSE)+IFERROR(VLOOKUP(Karakterlap!$V$7,$A$24:$F$33,6,FALSE),0)</f>
        <v>11</v>
      </c>
      <c r="BF84" s="47">
        <f>VLOOKUP("k10+8",$I$2:$J$11,2,FALSE)+IFERROR(VLOOKUP(Karakterlap!$V$7,$A$24:$G$33,7,FALSE),0)</f>
        <v>14</v>
      </c>
      <c r="BG84" s="48">
        <f>VLOOKUP("k10+10",$I$2:$J$11,2,FALSE)+IFERROR(VLOOKUP(Karakterlap!$V$7,$A$24:$H$33,8,FALSE),0)</f>
        <v>16</v>
      </c>
      <c r="BH84" s="47">
        <f>VLOOKUP("k10+8",$I$2:$J$11,2,FALSE)+IFERROR(VLOOKUP(Karakterlap!$V$7,$A$24:$I$33,9,FALSE),0)</f>
        <v>14</v>
      </c>
      <c r="BI84" s="47">
        <f>VLOOKUP("k10+8",$I$2:$J$11,2,FALSE)</f>
        <v>14</v>
      </c>
      <c r="BJ84" s="47">
        <f>VLOOKUP("k6+12",$I$2:$J$11,2,FALSE)+IFERROR(VLOOKUP(Karakterlap!$V$7,$A$24:$J$33,10,FALSE),0)</f>
        <v>16</v>
      </c>
      <c r="BK84" s="47">
        <f>VLOOKUP("k10+8",$I$2:$J$11,2,FALSE)</f>
        <v>14</v>
      </c>
      <c r="BL84" s="47">
        <f>IF((SUM(Karakterlap!$F$3:$F$12)-SUM(BB84:BK84))&lt;0,0,SUM(Karakterlap!$F$3:$F$12)-SUM(BB84:BK84))</f>
        <v>0</v>
      </c>
      <c r="BM84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84&gt;18,BI84,18))&gt;0,Karakterlap!$F$10-IF(BI84&gt;18,BI84,18),0),0)+IF(Karakterlap!$F$11&gt;(18+IFERROR(VLOOKUP(Karakterlap!$V$7,$A$24:$J$33,10,FALSE),0)),(Karakterlap!$F$11-(18+IFERROR(VLOOKUP(Karakterlap!$V$7,$A$24:$J$33,10,FALSE),0))),0)+IF(Karakterlap!$F$12&gt;18,IF((Karakterlap!$F$12-IF(BK84&gt;18,BK84,18))&gt;0,Karakterlap!$F$12-IF(BK84&gt;18,BK84,18),0),0)</f>
        <v>#VALUE!</v>
      </c>
      <c r="BN84" t="s">
        <v>977</v>
      </c>
      <c r="BU84" t="s">
        <v>977</v>
      </c>
      <c r="BV84" t="s">
        <v>977</v>
      </c>
      <c r="BW84" s="5"/>
      <c r="BX84" s="97" t="s">
        <v>192</v>
      </c>
      <c r="BY84" s="97" t="s">
        <v>189</v>
      </c>
      <c r="BZ84" s="97" t="s">
        <v>187</v>
      </c>
      <c r="CA84" s="97" t="s">
        <v>187</v>
      </c>
      <c r="CB84" s="97" t="s">
        <v>190</v>
      </c>
      <c r="CC84" s="97" t="s">
        <v>193</v>
      </c>
      <c r="CD84" s="97" t="s">
        <v>190</v>
      </c>
      <c r="CE84" s="97" t="s">
        <v>190</v>
      </c>
      <c r="CF84" s="97" t="s">
        <v>192</v>
      </c>
      <c r="CG84" s="97" t="s">
        <v>190</v>
      </c>
    </row>
    <row r="85" spans="1:85" x14ac:dyDescent="0.2">
      <c r="L85" s="30" t="s">
        <v>60</v>
      </c>
      <c r="M85" s="30">
        <v>0</v>
      </c>
      <c r="N85" s="30">
        <v>176</v>
      </c>
      <c r="O85" s="30">
        <v>353</v>
      </c>
      <c r="P85" s="30">
        <v>721</v>
      </c>
      <c r="Q85" s="30">
        <v>1501</v>
      </c>
      <c r="R85" s="30">
        <v>3501</v>
      </c>
      <c r="S85" s="30">
        <v>7001</v>
      </c>
      <c r="T85" s="30">
        <v>10501</v>
      </c>
      <c r="U85" s="30">
        <v>21001</v>
      </c>
      <c r="V85" s="30">
        <v>48001</v>
      </c>
      <c r="W85" s="30">
        <v>78001</v>
      </c>
      <c r="X85" s="30">
        <v>108001</v>
      </c>
      <c r="Y85" s="30">
        <f>IFERROR(IF(VLOOKUP(L85,Karakterlap!$P$3:$Z$4,10,FALSE)&gt;13,138001+((VLOOKUP(L85,Karakterlap!$P$3:$Z$4,10,FALSE)-13)*38000),138001),138001)</f>
        <v>138001</v>
      </c>
      <c r="Z85" s="30">
        <v>5</v>
      </c>
      <c r="AA85" s="30">
        <v>20</v>
      </c>
      <c r="AB85" s="30">
        <v>75</v>
      </c>
      <c r="AC85" s="30">
        <v>0</v>
      </c>
      <c r="AD85" s="30">
        <f>IFERROR(VLOOKUP(L85,Karakterlap!$P$3:$Z$4,10,FALSE)*9,9)</f>
        <v>9</v>
      </c>
      <c r="AE85" s="30">
        <f>IFERROR(IF(Karakterlap!$P$5="Váltott kaszt",IF(Karakterlap!$P$3=Adattábla!$L85,Karakterlap!$Y$3*3,IF(Karakterlap!$P$4=Adattábla!$L85,(Karakterlap!$Y$4-Adattábla!$I$20)*3,3)),VLOOKUP(Adattábla!$L85,Karakterlap!$P$3:$Z$4,10,FALSE)*3),3)</f>
        <v>3</v>
      </c>
      <c r="AF85" s="30">
        <f>IFERROR(IF(Karakterlap!$P$5="Váltott kaszt",IF(Karakterlap!$P$3=Adattábla!$L85,Karakterlap!$Y$3*3,IF(Karakterlap!$P$4=Adattábla!$L85,(Karakterlap!$Y$4-Adattábla!$I$20)*3,3)),VLOOKUP(Adattábla!$L85,Karakterlap!$P$3:$Z$4,10,FALSE)*3),3)</f>
        <v>3</v>
      </c>
      <c r="AG85" s="30">
        <v>5</v>
      </c>
      <c r="AH85" s="30">
        <f>IF(Karakterlap!$P$5="Iker kaszt",IF(Karakterlap!$P$3=L85,IFERROR((Karakterlap!$P$6*5)+(VLOOKUP(L85,Karakterlap!$P$3:$Z$4,10,FALSE)-Karakterlap!$P$6),5),IF(Karakterlap!$P$4=L85,VLOOKUP(L85,Karakterlap!$P$3:$Z$4,10,FALSE),5)),IF(Karakterlap!$P$5="Váltott kaszt",IF(L85=Karakterlap!$P$3,(Karakterlap!$Y$3+3)*5,VLOOKUP(L85,Karakterlap!$P$3:$Z$4,10,FALSE)*5),IFERROR(VLOOKUP(L85,Karakterlap!$P$3:$Z$4,10,FALSE)*5,5)))</f>
        <v>5</v>
      </c>
      <c r="AI85" s="30">
        <v>0</v>
      </c>
      <c r="AJ85" s="30">
        <v>8</v>
      </c>
      <c r="AK85" s="30">
        <v>7</v>
      </c>
      <c r="AL85" s="30">
        <f>IFERROR(VLOOKUP(L85,Karakterlap!$P$3:$Z$4,10,FALSE)*($E$18+5),$E$18+5)</f>
        <v>11</v>
      </c>
      <c r="AM85" s="30">
        <f>IFERROR(IF(VLOOKUP(L85,Karakterlap!$P$3:$Z$4,10,FALSE)&gt;1,9+((VLOOKUP(L85,Karakterlap!$P$3:$Z$4,10,FALSE)-1)*((ROUND($E$18/2,0))+6)),9),9)</f>
        <v>9</v>
      </c>
      <c r="AN85" s="30" t="s">
        <v>92</v>
      </c>
      <c r="AO85" s="30" t="str">
        <f>IFERROR((IF(Karakterlap!$F$9&gt;10,Karakterlap!$F$9-10,0))+5+((VLOOKUP(L85,Karakterlap!$P$3:$Z$4,10,FALSE)-1)*4),"más kaszt")</f>
        <v>más kaszt</v>
      </c>
      <c r="AP85" s="30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0">
        <f>IFERROR(IF(Karakterlap!$P$6&gt;13,138001+((Karakterlap!$P$6-13)*38000),138001),138001)</f>
        <v>138001</v>
      </c>
      <c r="BB85" s="36">
        <f>VLOOKUP("k10+8",$I$2:$J$11,2,FALSE)+IFERROR(VLOOKUP(Karakterlap!$V$7,$A$24:$C$33,3,FALSE),0)</f>
        <v>14</v>
      </c>
      <c r="BC85" s="36">
        <f>VLOOKUP("k10+8",$I$2:$J$11,2,FALSE)+IFERROR(VLOOKUP(Karakterlap!$V$7,$A$24:$D$33,4,FALSE),0)</f>
        <v>14</v>
      </c>
      <c r="BD85" s="36">
        <f>VLOOKUP("3k6(2x)",$I$2:$J$11,2,FALSE)+IFERROR(VLOOKUP(Karakterlap!$V$7,$A$24:$E$33,5,FALSE),0)</f>
        <v>11</v>
      </c>
      <c r="BE85" s="36">
        <f>VLOOKUP("3k6(2x)",$I$2:$J$11,2,FALSE)+IFERROR(VLOOKUP(Karakterlap!$V$7,$A$24:$F$33,6,FALSE),0)</f>
        <v>11</v>
      </c>
      <c r="BF85" s="48">
        <f>VLOOKUP("k10+10",$I$2:$J$11,2,FALSE)+IFERROR(VLOOKUP(Karakterlap!$V$7,$A$24:$G$33,7,FALSE),0)</f>
        <v>16</v>
      </c>
      <c r="BG85" s="36">
        <f>VLOOKUP("k10+8",$I$2:$J$11,2,FALSE)+IFERROR(VLOOKUP(Karakterlap!$V$7,$A$24:$H$33,8,FALSE),0)</f>
        <v>14</v>
      </c>
      <c r="BH85" s="36">
        <f>VLOOKUP("2k6+6",$I$2:$J$11,2,FALSE)+IFERROR(VLOOKUP(Karakterlap!$V$7,$A$24:$I$33,9,FALSE),0)</f>
        <v>13</v>
      </c>
      <c r="BI85" s="36">
        <f t="shared" si="4"/>
        <v>14</v>
      </c>
      <c r="BJ85" s="36">
        <f>VLOOKUP("k6+12",$I$2:$J$11,2,FALSE)+IFERROR(VLOOKUP(Karakterlap!$V$7,$A$24:$J$33,10,FALSE),0)</f>
        <v>16</v>
      </c>
      <c r="BK85" s="36">
        <f t="shared" si="5"/>
        <v>14</v>
      </c>
      <c r="BL85" s="36">
        <f>IF((SUM(Karakterlap!$F$3:$F$12)-SUM(BB85:BK85))&lt;0,0,SUM(Karakterlap!$F$3:$F$12)-SUM(BB85:BK85))</f>
        <v>0</v>
      </c>
      <c r="BM85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85&gt;18,BI85,18))&gt;0,Karakterlap!$F$10-IF(BI85&gt;18,BI85,18),0),0)+IF(Karakterlap!$F$11&gt;(18+IFERROR(VLOOKUP(Karakterlap!$V$7,$A$24:$J$33,10,FALSE),0)),(Karakterlap!$F$11-(18+IFERROR(VLOOKUP(Karakterlap!$V$7,$A$24:$J$33,10,FALSE),0))),0)+IF(Karakterlap!$F$12&gt;18,IF((Karakterlap!$F$12-IF(BK85&gt;18,BK85,18))&gt;0,Karakterlap!$F$12-IF(BK85&gt;18,BK85,18),0),0)</f>
        <v>#VALUE!</v>
      </c>
      <c r="BN85" t="s">
        <v>977</v>
      </c>
      <c r="BW85" s="5"/>
      <c r="BX85" s="97" t="s">
        <v>190</v>
      </c>
      <c r="BY85" s="97" t="s">
        <v>190</v>
      </c>
      <c r="BZ85" s="97" t="s">
        <v>187</v>
      </c>
      <c r="CA85" s="97" t="s">
        <v>187</v>
      </c>
      <c r="CB85" s="97" t="s">
        <v>193</v>
      </c>
      <c r="CC85" s="97" t="s">
        <v>190</v>
      </c>
      <c r="CD85" s="97" t="s">
        <v>189</v>
      </c>
      <c r="CE85" s="97" t="s">
        <v>190</v>
      </c>
      <c r="CF85" s="97" t="s">
        <v>192</v>
      </c>
      <c r="CG85" s="97" t="s">
        <v>190</v>
      </c>
    </row>
    <row r="86" spans="1:85" x14ac:dyDescent="0.2">
      <c r="L86" s="9" t="s">
        <v>919</v>
      </c>
      <c r="M86" s="9">
        <v>0</v>
      </c>
      <c r="N86" s="9">
        <v>176</v>
      </c>
      <c r="O86" s="9">
        <v>353</v>
      </c>
      <c r="P86" s="9">
        <v>721</v>
      </c>
      <c r="Q86" s="9">
        <v>1501</v>
      </c>
      <c r="R86" s="9">
        <v>3501</v>
      </c>
      <c r="S86" s="9">
        <v>7001</v>
      </c>
      <c r="T86" s="9">
        <v>10501</v>
      </c>
      <c r="U86" s="9">
        <v>21001</v>
      </c>
      <c r="V86" s="9">
        <v>48001</v>
      </c>
      <c r="W86" s="9">
        <v>78001</v>
      </c>
      <c r="X86" s="9">
        <v>108001</v>
      </c>
      <c r="Y86" s="9">
        <f>IFERROR(IF(VLOOKUP(L86,Karakterlap!$P$3:$Z$4,10,FALSE)&gt;13,138001+((VLOOKUP(L86,Karakterlap!$P$3:$Z$4,10,FALSE)-13)*38000),138001),138001)</f>
        <v>138001</v>
      </c>
      <c r="Z86" s="9">
        <v>5</v>
      </c>
      <c r="AA86" s="9">
        <v>20</v>
      </c>
      <c r="AB86" s="9">
        <v>75</v>
      </c>
      <c r="AC86" s="9">
        <v>0</v>
      </c>
      <c r="AD86" s="9">
        <f>IFERROR(VLOOKUP(L86,Karakterlap!$P$3:$Z$4,10,FALSE)*9,9)</f>
        <v>9</v>
      </c>
      <c r="AE86" s="9">
        <f>IFERROR(IF(Karakterlap!$P$5="Váltott kaszt",IF(Karakterlap!$P$3=Adattábla!$L86,Karakterlap!$Y$3*3,IF(Karakterlap!$P$4=Adattábla!$L86,(Karakterlap!$Y$4-Adattábla!$I$20)*3,3)),VLOOKUP(Adattábla!$L86,Karakterlap!$P$3:$Z$4,10,FALSE)*3),3)</f>
        <v>3</v>
      </c>
      <c r="AF86" s="9">
        <f>IFERROR(IF(Karakterlap!$P$5="Váltott kaszt",IF(Karakterlap!$P$3=Adattábla!$L86,Karakterlap!$Y$3*3,IF(Karakterlap!$P$4=Adattábla!$L86,(Karakterlap!$Y$4-Adattábla!$I$20)*3,3)),VLOOKUP(Adattábla!$L86,Karakterlap!$P$3:$Z$4,10,FALSE)*3),3)</f>
        <v>3</v>
      </c>
      <c r="AG86" s="9">
        <v>5</v>
      </c>
      <c r="AH86" s="9">
        <f>IF(Karakterlap!$P$5="Iker kaszt",IF(Karakterlap!$P$3=L86,IFERROR((Karakterlap!$P$6*5)+(VLOOKUP(L86,Karakterlap!$P$3:$Z$4,10,FALSE)-Karakterlap!$P$6),5),IF(Karakterlap!$P$4=L86,VLOOKUP(L86,Karakterlap!$P$3:$Z$4,10,FALSE),5)),IF(Karakterlap!$P$5="Váltott kaszt",IF(L86=Karakterlap!$P$3,(Karakterlap!$Y$3+3)*5,VLOOKUP(L86,Karakterlap!$P$3:$Z$4,10,FALSE)*5),IFERROR(VLOOKUP(L86,Karakterlap!$P$3:$Z$4,10,FALSE)*5,5)))</f>
        <v>5</v>
      </c>
      <c r="AI86" s="9">
        <v>0</v>
      </c>
      <c r="AJ86" s="9">
        <v>8</v>
      </c>
      <c r="AK86" s="9">
        <v>7</v>
      </c>
      <c r="AL86" s="9">
        <f>IFERROR(VLOOKUP(L86,Karakterlap!$P$3:$Z$4,10,FALSE)*($E$18+5),$E$18+5)</f>
        <v>11</v>
      </c>
      <c r="AM86" s="9">
        <f>IFERROR(IF(VLOOKUP(L86,Karakterlap!$P$3:$Z$4,10,FALSE)&gt;1,9+((VLOOKUP(L86,Karakterlap!$P$3:$Z$4,10,FALSE)-1)*((ROUND($E$18/2,0))+6)),9),9)</f>
        <v>9</v>
      </c>
      <c r="AN86" s="9" t="s">
        <v>92</v>
      </c>
      <c r="AO86" s="9" t="str">
        <f>IFERROR((IF(Karakterlap!$F$9&gt;10,Karakterlap!$F$9-10,0))+5+((VLOOKUP(L86,Karakterlap!$P$3:$Z$4,10,FALSE)-1)*4),"más kaszt")</f>
        <v>más kaszt</v>
      </c>
      <c r="AP86" s="9"/>
      <c r="AQ86" s="29"/>
      <c r="AR86" s="29">
        <v>15</v>
      </c>
      <c r="AS86" s="29"/>
      <c r="AT86" s="29"/>
      <c r="AU86" s="29"/>
      <c r="AV86" s="29"/>
      <c r="AW86" s="29"/>
      <c r="AX86" s="29"/>
      <c r="AY86" s="29"/>
      <c r="AZ86" s="29"/>
      <c r="BA86" s="9">
        <f>IFERROR(IF(Karakterlap!$P$6&gt;13,138001+((Karakterlap!$P$6-13)*38000),138001),138001)</f>
        <v>138001</v>
      </c>
      <c r="BB86" s="36">
        <f>VLOOKUP("k10+8",$I$2:$J$11,2,FALSE)+IFERROR(VLOOKUP(Karakterlap!$V$7,$A$24:$C$33,3,FALSE),0)</f>
        <v>14</v>
      </c>
      <c r="BC86" s="36">
        <f>VLOOKUP("k10+8",$I$2:$J$11,2,FALSE)+IFERROR(VLOOKUP(Karakterlap!$V$7,$A$24:$D$33,4,FALSE),0)</f>
        <v>14</v>
      </c>
      <c r="BD86" s="36">
        <f>VLOOKUP("3k6(2x)",$I$2:$J$11,2,FALSE)+IFERROR(VLOOKUP(Karakterlap!$V$7,$A$24:$E$33,5,FALSE),0)</f>
        <v>11</v>
      </c>
      <c r="BE86" s="36">
        <f>VLOOKUP("3k6(2x)",$I$2:$J$11,2,FALSE)+IFERROR(VLOOKUP(Karakterlap!$V$7,$A$24:$F$33,6,FALSE),0)</f>
        <v>11</v>
      </c>
      <c r="BF86" s="48">
        <f>VLOOKUP("k10+10",$I$2:$J$11,2,FALSE)+IFERROR(VLOOKUP(Karakterlap!$V$7,$A$24:$G$33,7,FALSE),0)</f>
        <v>16</v>
      </c>
      <c r="BG86" s="36">
        <f>VLOOKUP("k10+8",$I$2:$J$11,2,FALSE)+IFERROR(VLOOKUP(Karakterlap!$V$7,$A$24:$H$33,8,FALSE),0)</f>
        <v>14</v>
      </c>
      <c r="BH86" s="36">
        <f>VLOOKUP("2k6+6",$I$2:$J$11,2,FALSE)+IFERROR(VLOOKUP(Karakterlap!$V$7,$A$24:$I$33,9,FALSE),0)</f>
        <v>13</v>
      </c>
      <c r="BI86" s="36">
        <f t="shared" si="4"/>
        <v>14</v>
      </c>
      <c r="BJ86" s="36">
        <f>VLOOKUP("k6+12",$I$2:$J$11,2,FALSE)+IFERROR(VLOOKUP(Karakterlap!$V$7,$A$24:$J$33,10,FALSE),0)</f>
        <v>16</v>
      </c>
      <c r="BK86" s="36">
        <f t="shared" si="5"/>
        <v>14</v>
      </c>
      <c r="BL86" s="36">
        <f>IF((SUM(Karakterlap!$F$3:$F$12)-SUM(BB86:BK86))&lt;0,0,SUM(Karakterlap!$F$3:$F$12)-SUM(BB86:BK86))</f>
        <v>0</v>
      </c>
      <c r="BM86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86&gt;18,BI86,18))&gt;0,Karakterlap!$F$10-IF(BI86&gt;18,BI86,18),0),0)+IF(Karakterlap!$F$11&gt;(18+IFERROR(VLOOKUP(Karakterlap!$V$7,$A$24:$J$33,10,FALSE),0)),(Karakterlap!$F$11-(18+IFERROR(VLOOKUP(Karakterlap!$V$7,$A$24:$J$33,10,FALSE),0))),0)+IF(Karakterlap!$F$12&gt;18,IF((Karakterlap!$F$12-IF(BK86&gt;18,BK86,18))&gt;0,Karakterlap!$F$12-IF(BK86&gt;18,BK86,18),0),0)</f>
        <v>#VALUE!</v>
      </c>
      <c r="BN86" t="s">
        <v>977</v>
      </c>
      <c r="BW86" s="5"/>
      <c r="BX86" s="97" t="s">
        <v>190</v>
      </c>
      <c r="BY86" s="97" t="s">
        <v>190</v>
      </c>
      <c r="BZ86" s="97" t="s">
        <v>187</v>
      </c>
      <c r="CA86" s="97" t="s">
        <v>187</v>
      </c>
      <c r="CB86" s="97" t="s">
        <v>193</v>
      </c>
      <c r="CC86" s="97" t="s">
        <v>190</v>
      </c>
      <c r="CD86" s="97" t="s">
        <v>189</v>
      </c>
      <c r="CE86" s="97" t="s">
        <v>190</v>
      </c>
      <c r="CF86" s="97" t="s">
        <v>192</v>
      </c>
      <c r="CG86" s="97" t="s">
        <v>190</v>
      </c>
    </row>
    <row r="87" spans="1:85" x14ac:dyDescent="0.2">
      <c r="L87" s="9" t="s">
        <v>151</v>
      </c>
      <c r="M87" s="9">
        <v>0</v>
      </c>
      <c r="N87" s="9">
        <v>176</v>
      </c>
      <c r="O87" s="9">
        <v>353</v>
      </c>
      <c r="P87" s="9">
        <v>721</v>
      </c>
      <c r="Q87" s="9">
        <v>1501</v>
      </c>
      <c r="R87" s="9">
        <v>3501</v>
      </c>
      <c r="S87" s="9">
        <v>7001</v>
      </c>
      <c r="T87" s="9">
        <v>10501</v>
      </c>
      <c r="U87" s="9">
        <v>21001</v>
      </c>
      <c r="V87" s="9">
        <v>48001</v>
      </c>
      <c r="W87" s="9">
        <v>78001</v>
      </c>
      <c r="X87" s="9">
        <v>108001</v>
      </c>
      <c r="Y87" s="9">
        <f>IFERROR(IF(VLOOKUP(L87,Karakterlap!$P$3:$Z$4,10,FALSE)&gt;13,138001+((VLOOKUP(L87,Karakterlap!$P$3:$Z$4,10,FALSE)-13)*38000),138001),138001)</f>
        <v>138001</v>
      </c>
      <c r="Z87" s="9">
        <v>5</v>
      </c>
      <c r="AA87" s="9">
        <v>20</v>
      </c>
      <c r="AB87" s="9">
        <v>75</v>
      </c>
      <c r="AC87" s="9">
        <v>0</v>
      </c>
      <c r="AD87" s="9">
        <f>IFERROR(VLOOKUP(L87,Karakterlap!$P$3:$Z$4,10,FALSE)*9,9)</f>
        <v>9</v>
      </c>
      <c r="AE87" s="9">
        <f>IFERROR(IF(Karakterlap!$P$5="Váltott kaszt",IF(Karakterlap!$P$3=Adattábla!$L87,Karakterlap!$Y$3*3,IF(Karakterlap!$P$4=Adattábla!$L87,(Karakterlap!$Y$4-Adattábla!$I$20)*3,3)),VLOOKUP(Adattábla!$L87,Karakterlap!$P$3:$Z$4,10,FALSE)*3),3)</f>
        <v>3</v>
      </c>
      <c r="AF87" s="9">
        <f>IFERROR(IF(Karakterlap!$P$5="Váltott kaszt",IF(Karakterlap!$P$3=Adattábla!$L87,Karakterlap!$Y$3*3,IF(Karakterlap!$P$4=Adattábla!$L87,(Karakterlap!$Y$4-Adattábla!$I$20)*3,3)),VLOOKUP(Adattábla!$L87,Karakterlap!$P$3:$Z$4,10,FALSE)*3),3)</f>
        <v>3</v>
      </c>
      <c r="AG87" s="9">
        <v>10</v>
      </c>
      <c r="AH87" s="9">
        <f>IF(Karakterlap!$P$5="Iker kaszt",IF(Karakterlap!$P$3=L87,IFERROR((Karakterlap!$P$6*5)+(VLOOKUP(L87,Karakterlap!$P$3:$Z$4,10,FALSE)-Karakterlap!$P$6),5),IF(Karakterlap!$P$4=L87,VLOOKUP(L87,Karakterlap!$P$3:$Z$4,10,FALSE),5)),IF(Karakterlap!$P$5="Váltott kaszt",IF(L87=Karakterlap!$P$3,(Karakterlap!$Y$3+3)*5,VLOOKUP(L87,Karakterlap!$P$3:$Z$4,10,FALSE)*5),IFERROR(VLOOKUP(L87,Karakterlap!$P$3:$Z$4,10,FALSE)*5,5)))</f>
        <v>5</v>
      </c>
      <c r="AI87" s="9">
        <v>0</v>
      </c>
      <c r="AJ87" s="9">
        <v>6</v>
      </c>
      <c r="AK87" s="9">
        <v>8</v>
      </c>
      <c r="AL87" s="9">
        <f>IFERROR(VLOOKUP(L87,Karakterlap!$P$3:$Z$4,10,FALSE)*($E$18+6),$E$18+6)</f>
        <v>12</v>
      </c>
      <c r="AM87" s="9">
        <f>IFERROR(IF(VLOOKUP(L87,Karakterlap!$P$3:$Z$4,10,FALSE)&gt;1,5+((VLOOKUP(L87,Karakterlap!$P$3:$Z$4,10,FALSE)-1)*(ROUND($E$18/2,0)+1)),5),5)</f>
        <v>5</v>
      </c>
      <c r="AN87" s="9" t="s">
        <v>92</v>
      </c>
      <c r="AO87" s="9" t="str">
        <f>IFERROR((IF(Karakterlap!$F$9&gt;10,Karakterlap!$F$9-10,0))+5+((VLOOKUP(L87,Karakterlap!$P$3:$Z$4,10,FALSE)-1)*4),"más kaszt")</f>
        <v>más kaszt</v>
      </c>
      <c r="AP87" s="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9">
        <f>IFERROR(IF(Karakterlap!$P$6&gt;13,138001+((Karakterlap!$P$6-13)*38000),138001),138001)</f>
        <v>138001</v>
      </c>
      <c r="BB87" s="36">
        <f>VLOOKUP("k10+8",$I$2:$J$11,2,FALSE)+IFERROR(VLOOKUP(Karakterlap!$V$7,$A$24:$C$33,3,FALSE),0)</f>
        <v>14</v>
      </c>
      <c r="BC87" s="36">
        <f>VLOOKUP("k10+8",$I$2:$J$11,2,FALSE)+IFERROR(VLOOKUP(Karakterlap!$V$7,$A$24:$D$33,4,FALSE),0)</f>
        <v>14</v>
      </c>
      <c r="BD87" s="36">
        <f>VLOOKUP("3k6(2x)",$I$2:$J$11,2,FALSE)+IFERROR(VLOOKUP(Karakterlap!$V$7,$A$24:$E$33,5,FALSE),0)</f>
        <v>11</v>
      </c>
      <c r="BE87" s="36">
        <f>VLOOKUP("3k6(2x)",$I$2:$J$11,2,FALSE)+IFERROR(VLOOKUP(Karakterlap!$V$7,$A$24:$F$33,6,FALSE),0)</f>
        <v>11</v>
      </c>
      <c r="BF87" s="48">
        <f>VLOOKUP("k10+10",$I$2:$J$11,2,FALSE)+IFERROR(VLOOKUP(Karakterlap!$V$7,$A$24:$G$33,7,FALSE),0)</f>
        <v>16</v>
      </c>
      <c r="BG87" s="36">
        <f>VLOOKUP("k10+8",$I$2:$J$11,2,FALSE)+IFERROR(VLOOKUP(Karakterlap!$V$7,$A$24:$H$33,8,FALSE),0)</f>
        <v>14</v>
      </c>
      <c r="BH87" s="36">
        <f>VLOOKUP("2k6+6",$I$2:$J$11,2,FALSE)+IFERROR(VLOOKUP(Karakterlap!$V$7,$A$24:$I$33,9,FALSE),0)</f>
        <v>13</v>
      </c>
      <c r="BI87" s="36">
        <f t="shared" si="4"/>
        <v>14</v>
      </c>
      <c r="BJ87" s="36">
        <f>VLOOKUP("k6+12",$I$2:$J$11,2,FALSE)+IFERROR(VLOOKUP(Karakterlap!$V$7,$A$24:$J$33,10,FALSE),0)</f>
        <v>16</v>
      </c>
      <c r="BK87" s="36">
        <f t="shared" si="5"/>
        <v>14</v>
      </c>
      <c r="BL87" s="36">
        <f>IF((SUM(Karakterlap!$F$3:$F$12)-SUM(BB87:BK87))&lt;0,0,SUM(Karakterlap!$F$3:$F$12)-SUM(BB87:BK87))</f>
        <v>0</v>
      </c>
      <c r="BM87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87&gt;18,BI87,18))&gt;0,Karakterlap!$F$10-IF(BI87&gt;18,BI87,18),0),0)+IF(Karakterlap!$F$11&gt;(18+IFERROR(VLOOKUP(Karakterlap!$V$7,$A$24:$J$33,10,FALSE),0)),(Karakterlap!$F$11-(18+IFERROR(VLOOKUP(Karakterlap!$V$7,$A$24:$J$33,10,FALSE),0))),0)+IF(Karakterlap!$F$12&gt;18,IF((Karakterlap!$F$12-IF(BK87&gt;18,BK87,18))&gt;0,Karakterlap!$F$12-IF(BK87&gt;18,BK87,18),0),0)</f>
        <v>#VALUE!</v>
      </c>
      <c r="BN87" t="s">
        <v>977</v>
      </c>
      <c r="BW87" s="5"/>
      <c r="BX87" s="97" t="s">
        <v>190</v>
      </c>
      <c r="BY87" s="97" t="s">
        <v>190</v>
      </c>
      <c r="BZ87" s="97" t="s">
        <v>187</v>
      </c>
      <c r="CA87" s="97" t="s">
        <v>187</v>
      </c>
      <c r="CB87" s="97" t="s">
        <v>193</v>
      </c>
      <c r="CC87" s="97" t="s">
        <v>190</v>
      </c>
      <c r="CD87" s="97" t="s">
        <v>189</v>
      </c>
      <c r="CE87" s="97" t="s">
        <v>190</v>
      </c>
      <c r="CF87" s="97" t="s">
        <v>192</v>
      </c>
      <c r="CG87" s="97" t="s">
        <v>190</v>
      </c>
    </row>
    <row r="88" spans="1:85" x14ac:dyDescent="0.2">
      <c r="L88" s="9" t="s">
        <v>923</v>
      </c>
      <c r="M88" s="9">
        <v>0</v>
      </c>
      <c r="N88" s="9">
        <v>176</v>
      </c>
      <c r="O88" s="9">
        <v>353</v>
      </c>
      <c r="P88" s="9">
        <v>721</v>
      </c>
      <c r="Q88" s="9">
        <v>1501</v>
      </c>
      <c r="R88" s="9">
        <v>3501</v>
      </c>
      <c r="S88" s="9">
        <v>7001</v>
      </c>
      <c r="T88" s="9">
        <v>10501</v>
      </c>
      <c r="U88" s="9">
        <v>21001</v>
      </c>
      <c r="V88" s="9">
        <v>48001</v>
      </c>
      <c r="W88" s="9">
        <v>78001</v>
      </c>
      <c r="X88" s="9">
        <v>108001</v>
      </c>
      <c r="Y88" s="9">
        <f>IFERROR(IF(VLOOKUP(L88,Karakterlap!$P$3:$Z$4,10,FALSE)&gt;13,138001+((VLOOKUP(L88,Karakterlap!$P$3:$Z$4,10,FALSE)-13)*38000),138001),138001)</f>
        <v>138001</v>
      </c>
      <c r="Z88" s="9">
        <v>8</v>
      </c>
      <c r="AA88" s="9">
        <v>18</v>
      </c>
      <c r="AB88" s="9">
        <v>73</v>
      </c>
      <c r="AC88" s="9">
        <v>5</v>
      </c>
      <c r="AD88" s="9">
        <f>IFERROR(VLOOKUP(L88,Karakterlap!$P$3:$Z$4,10,FALSE)*9,9)</f>
        <v>9</v>
      </c>
      <c r="AE88" s="9">
        <f>IFERROR(IF(Karakterlap!$P$5="Váltott kaszt",IF(Karakterlap!$P$3=Adattábla!$L88,Karakterlap!$Y$3*3,IF(Karakterlap!$P$4=Adattábla!$L88,(Karakterlap!$Y$4-Adattábla!$I$20)*3,3)),VLOOKUP(Adattábla!$L88,Karakterlap!$P$3:$Z$4,10,FALSE)*3),3)</f>
        <v>3</v>
      </c>
      <c r="AF88" s="9">
        <f>IFERROR(IF(Karakterlap!$P$5="Váltott kaszt",IF(Karakterlap!$P$3=Adattábla!$L88,Karakterlap!$Y$3*3,IF(Karakterlap!$P$4=Adattábla!$L88,(Karakterlap!$Y$4-Adattábla!$I$20)*3,3)),VLOOKUP(Adattábla!$L88,Karakterlap!$P$3:$Z$4,10,FALSE)*3),3)</f>
        <v>3</v>
      </c>
      <c r="AG88" s="9">
        <v>2</v>
      </c>
      <c r="AH88" s="9">
        <f>IF(Karakterlap!$P$5="Iker kaszt",IF(Karakterlap!$P$3=L88,IFERROR((Karakterlap!$P$6*6)+(VLOOKUP(L88,Karakterlap!$P$3:$Z$4,10,FALSE)-Karakterlap!$P$6),6),IF(Karakterlap!$P$4=L88,VLOOKUP(L88,Karakterlap!$P$3:$Z$4,10,FALSE),6)),IF(Karakterlap!$P$5="Váltott kaszt",IF(L88=Karakterlap!$P$3,(Karakterlap!$Y$3+3)*6,VLOOKUP(L88,Karakterlap!$P$3:$Z$4,10,FALSE)*6),IFERROR(VLOOKUP(L88,Karakterlap!$P$3:$Z$4,10,FALSE)*6,6)))</f>
        <v>6</v>
      </c>
      <c r="AI88" s="9">
        <v>0</v>
      </c>
      <c r="AJ88" s="9">
        <v>5</v>
      </c>
      <c r="AK88" s="9">
        <v>6</v>
      </c>
      <c r="AL88" s="9">
        <f>IFERROR(VLOOKUP(L88,Karakterlap!$P$3:$Z$4,10,FALSE)*($E$18+4),$E$18+4)</f>
        <v>10</v>
      </c>
      <c r="AM88" s="9">
        <f>IFERROR(IF(VLOOKUP(L88,Karakterlap!$P$3:$Z$4,10,FALSE)&gt;1,9+((VLOOKUP(L88,Karakterlap!$P$3:$Z$4,10,FALSE)-1)*(ROUND($E$18/2,0)+3)),9),9)</f>
        <v>9</v>
      </c>
      <c r="AN88" s="9" t="s">
        <v>92</v>
      </c>
      <c r="AO88" s="9" t="str">
        <f>IFERROR((IF(Karakterlap!$F$9&gt;10,Karakterlap!$F$9-10,0))+5+((VLOOKUP(L88,Karakterlap!$P$3:$Z$4,10,FALSE)-1)*4),"más kaszt")</f>
        <v>más kaszt</v>
      </c>
      <c r="AP88" s="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9">
        <f>IFERROR(IF(Karakterlap!$P$6&gt;13,138001+((Karakterlap!$P$6-13)*38000),138001),138001)</f>
        <v>138001</v>
      </c>
      <c r="BB88" s="36">
        <f>VLOOKUP("k10+8",$I$2:$J$11,2,FALSE)+IFERROR(VLOOKUP(Karakterlap!$V$7,$A$24:$C$33,3,FALSE),0)</f>
        <v>14</v>
      </c>
      <c r="BC88" s="36">
        <f>VLOOKUP("k10+8",$I$2:$J$11,2,FALSE)+IFERROR(VLOOKUP(Karakterlap!$V$7,$A$24:$D$33,4,FALSE),0)</f>
        <v>14</v>
      </c>
      <c r="BD88" s="36">
        <f>VLOOKUP("3k6(2x)",$I$2:$J$11,2,FALSE)+IFERROR(VLOOKUP(Karakterlap!$V$7,$A$24:$E$33,5,FALSE),0)</f>
        <v>11</v>
      </c>
      <c r="BE88" s="36">
        <f>VLOOKUP("3k6(2x)",$I$2:$J$11,2,FALSE)+IFERROR(VLOOKUP(Karakterlap!$V$7,$A$24:$F$33,6,FALSE),0)</f>
        <v>11</v>
      </c>
      <c r="BF88" s="48">
        <f>VLOOKUP("k10+10",$I$2:$J$11,2,FALSE)+IFERROR(VLOOKUP(Karakterlap!$V$7,$A$24:$G$33,7,FALSE),0)</f>
        <v>16</v>
      </c>
      <c r="BG88" s="36">
        <f>VLOOKUP("k10+8",$I$2:$J$11,2,FALSE)+IFERROR(VLOOKUP(Karakterlap!$V$7,$A$24:$H$33,8,FALSE),0)</f>
        <v>14</v>
      </c>
      <c r="BH88" s="36">
        <f>VLOOKUP("2k6+6",$I$2:$J$11,2,FALSE)+IFERROR(VLOOKUP(Karakterlap!$V$7,$A$24:$I$33,9,FALSE),0)</f>
        <v>13</v>
      </c>
      <c r="BI88" s="36">
        <f t="shared" si="4"/>
        <v>14</v>
      </c>
      <c r="BJ88" s="36">
        <f>VLOOKUP("k6+12",$I$2:$J$11,2,FALSE)+IFERROR(VLOOKUP(Karakterlap!$V$7,$A$24:$J$33,10,FALSE),0)</f>
        <v>16</v>
      </c>
      <c r="BK88" s="36">
        <f t="shared" si="5"/>
        <v>14</v>
      </c>
      <c r="BL88" s="36">
        <f>IF((SUM(Karakterlap!$F$3:$F$12)-SUM(BB88:BK88))&lt;0,0,SUM(Karakterlap!$F$3:$F$12)-SUM(BB88:BK88))</f>
        <v>0</v>
      </c>
      <c r="BM88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88&gt;18,BI88,18))&gt;0,Karakterlap!$F$10-IF(BI88&gt;18,BI88,18),0),0)+IF(Karakterlap!$F$11&gt;(18+IFERROR(VLOOKUP(Karakterlap!$V$7,$A$24:$J$33,10,FALSE),0)),(Karakterlap!$F$11-(18+IFERROR(VLOOKUP(Karakterlap!$V$7,$A$24:$J$33,10,FALSE),0))),0)+IF(Karakterlap!$F$12&gt;18,IF((Karakterlap!$F$12-IF(BK88&gt;18,BK88,18))&gt;0,Karakterlap!$F$12-IF(BK88&gt;18,BK88,18),0),0)</f>
        <v>#VALUE!</v>
      </c>
      <c r="BN88" t="s">
        <v>977</v>
      </c>
      <c r="BW88" s="5"/>
      <c r="BX88" s="97" t="s">
        <v>190</v>
      </c>
      <c r="BY88" s="97" t="s">
        <v>190</v>
      </c>
      <c r="BZ88" s="97" t="s">
        <v>187</v>
      </c>
      <c r="CA88" s="97" t="s">
        <v>187</v>
      </c>
      <c r="CB88" s="97" t="s">
        <v>193</v>
      </c>
      <c r="CC88" s="97" t="s">
        <v>190</v>
      </c>
      <c r="CD88" s="97" t="s">
        <v>189</v>
      </c>
      <c r="CE88" s="97" t="s">
        <v>190</v>
      </c>
      <c r="CF88" s="97" t="s">
        <v>192</v>
      </c>
      <c r="CG88" s="97" t="s">
        <v>190</v>
      </c>
    </row>
    <row r="89" spans="1:85" x14ac:dyDescent="0.2">
      <c r="L89" s="9" t="s">
        <v>932</v>
      </c>
      <c r="M89" s="9">
        <v>0</v>
      </c>
      <c r="N89" s="9">
        <v>176</v>
      </c>
      <c r="O89" s="9">
        <v>353</v>
      </c>
      <c r="P89" s="9">
        <v>721</v>
      </c>
      <c r="Q89" s="9">
        <v>1501</v>
      </c>
      <c r="R89" s="9">
        <v>3501</v>
      </c>
      <c r="S89" s="9">
        <v>7001</v>
      </c>
      <c r="T89" s="9">
        <v>10501</v>
      </c>
      <c r="U89" s="9">
        <v>21001</v>
      </c>
      <c r="V89" s="9">
        <v>48001</v>
      </c>
      <c r="W89" s="9">
        <v>78001</v>
      </c>
      <c r="X89" s="9">
        <v>108001</v>
      </c>
      <c r="Y89" s="9">
        <f>IFERROR(IF(VLOOKUP(L89,Karakterlap!$P$3:$Z$4,10,FALSE)&gt;13,138001+((VLOOKUP(L89,Karakterlap!$P$3:$Z$4,10,FALSE)-13)*38000),138001),138001)</f>
        <v>138001</v>
      </c>
      <c r="Z89" s="9">
        <v>5</v>
      </c>
      <c r="AA89" s="9">
        <v>20</v>
      </c>
      <c r="AB89" s="9">
        <v>75</v>
      </c>
      <c r="AC89" s="9">
        <v>0</v>
      </c>
      <c r="AD89" s="9">
        <f>IFERROR(VLOOKUP(L89,Karakterlap!$P$3:$Z$4,10,FALSE)*9,9)</f>
        <v>9</v>
      </c>
      <c r="AE89" s="9">
        <f>IFERROR(IF(Karakterlap!$P$5="Váltott kaszt",IF(Karakterlap!$P$3=Adattábla!$L89,Karakterlap!$Y$3*3,IF(Karakterlap!$P$4=Adattábla!$L89,(Karakterlap!$Y$4-Adattábla!$I$20)*3,3)),VLOOKUP(Adattábla!$L89,Karakterlap!$P$3:$Z$4,10,FALSE)*3),3)</f>
        <v>3</v>
      </c>
      <c r="AF89" s="9">
        <f>IFERROR(IF(Karakterlap!$P$5="Váltott kaszt",IF(Karakterlap!$P$3=Adattábla!$L89,Karakterlap!$Y$3*3,IF(Karakterlap!$P$4=Adattábla!$L89,(Karakterlap!$Y$4-Adattábla!$I$20)*3,3)),VLOOKUP(Adattábla!$L89,Karakterlap!$P$3:$Z$4,10,FALSE)*3),3)</f>
        <v>3</v>
      </c>
      <c r="AG89" s="9">
        <v>5</v>
      </c>
      <c r="AH89" s="9">
        <f>IF(Karakterlap!$P$5="Iker kaszt",IF(Karakterlap!$P$3=L89,IFERROR((Karakterlap!$P$6*5)+(VLOOKUP(L89,Karakterlap!$P$3:$Z$4,10,FALSE)-Karakterlap!$P$6),5),IF(Karakterlap!$P$4=L89,VLOOKUP(L89,Karakterlap!$P$3:$Z$4,10,FALSE),5)),IF(Karakterlap!$P$5="Váltott kaszt",IF(L89=Karakterlap!$P$3,(Karakterlap!$Y$3+3)*5,VLOOKUP(L89,Karakterlap!$P$3:$Z$4,10,FALSE)*5),IFERROR(VLOOKUP(L89,Karakterlap!$P$3:$Z$4,10,FALSE)*5,5)))</f>
        <v>5</v>
      </c>
      <c r="AI89" s="9">
        <v>0</v>
      </c>
      <c r="AJ89" s="9">
        <v>8</v>
      </c>
      <c r="AK89" s="9">
        <v>7</v>
      </c>
      <c r="AL89" s="9">
        <f>IFERROR(VLOOKUP(L89,Karakterlap!$P$3:$Z$4,10,FALSE)*($E$18+5),$E$18+5)</f>
        <v>11</v>
      </c>
      <c r="AM89" s="9">
        <f>IFERROR(IF(VLOOKUP(L89,Karakterlap!$P$3:$Z$4,10,FALSE)&gt;1,9+((VLOOKUP(L89,Karakterlap!$P$3:$Z$4,10,FALSE)-1)*((ROUND($E$18/2,0))+6)),9),9)</f>
        <v>9</v>
      </c>
      <c r="AN89" s="9" t="s">
        <v>92</v>
      </c>
      <c r="AO89" s="9" t="str">
        <f>IFERROR((IF(Karakterlap!$F$9&gt;10,Karakterlap!$F$9-10,0))+5+((VLOOKUP(L89,Karakterlap!$P$3:$Z$4,10,FALSE)-1)*4),"más kaszt")</f>
        <v>más kaszt</v>
      </c>
      <c r="AP89" s="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9">
        <f>IFERROR(IF(Karakterlap!$P$6&gt;13,138001+((Karakterlap!$P$6-13)*38000),138001),138001)</f>
        <v>138001</v>
      </c>
      <c r="BB89" s="36">
        <f>VLOOKUP("k10+8",$I$2:$J$11,2,FALSE)+IFERROR(VLOOKUP(Karakterlap!$V$7,$A$24:$C$33,3,FALSE),0)</f>
        <v>14</v>
      </c>
      <c r="BC89" s="36">
        <f>VLOOKUP("k10+8",$I$2:$J$11,2,FALSE)+IFERROR(VLOOKUP(Karakterlap!$V$7,$A$24:$D$33,4,FALSE),0)</f>
        <v>14</v>
      </c>
      <c r="BD89" s="36">
        <f>VLOOKUP("3k6(2x)",$I$2:$J$11,2,FALSE)+IFERROR(VLOOKUP(Karakterlap!$V$7,$A$24:$E$33,5,FALSE),0)</f>
        <v>11</v>
      </c>
      <c r="BE89" s="36">
        <f>VLOOKUP("3k6(2x)",$I$2:$J$11,2,FALSE)+IFERROR(VLOOKUP(Karakterlap!$V$7,$A$24:$F$33,6,FALSE),0)</f>
        <v>11</v>
      </c>
      <c r="BF89" s="48">
        <f>VLOOKUP("k10+10",$I$2:$J$11,2,FALSE)+IFERROR(VLOOKUP(Karakterlap!$V$7,$A$24:$G$33,7,FALSE),0)</f>
        <v>16</v>
      </c>
      <c r="BG89" s="36">
        <f>VLOOKUP("k10+8",$I$2:$J$11,2,FALSE)+IFERROR(VLOOKUP(Karakterlap!$V$7,$A$24:$H$33,8,FALSE),0)</f>
        <v>14</v>
      </c>
      <c r="BH89" s="36">
        <f>VLOOKUP("2k6+6",$I$2:$J$11,2,FALSE)+IFERROR(VLOOKUP(Karakterlap!$V$7,$A$24:$I$33,9,FALSE),0)</f>
        <v>13</v>
      </c>
      <c r="BI89" s="36">
        <f t="shared" si="4"/>
        <v>14</v>
      </c>
      <c r="BJ89" s="36">
        <f>VLOOKUP("k6+12",$I$2:$J$11,2,FALSE)+IFERROR(VLOOKUP(Karakterlap!$V$7,$A$24:$J$33,10,FALSE),0)</f>
        <v>16</v>
      </c>
      <c r="BK89" s="36">
        <f t="shared" si="5"/>
        <v>14</v>
      </c>
      <c r="BL89" s="36">
        <f>IF((SUM(Karakterlap!$F$3:$F$12)-SUM(BB89:BK89))&lt;0,0,SUM(Karakterlap!$F$3:$F$12)-SUM(BB89:BK89))</f>
        <v>0</v>
      </c>
      <c r="BM89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89&gt;18,BI89,18))&gt;0,Karakterlap!$F$10-IF(BI89&gt;18,BI89,18),0),0)+IF(Karakterlap!$F$11&gt;(18+IFERROR(VLOOKUP(Karakterlap!$V$7,$A$24:$J$33,10,FALSE),0)),(Karakterlap!$F$11-(18+IFERROR(VLOOKUP(Karakterlap!$V$7,$A$24:$J$33,10,FALSE),0))),0)+IF(Karakterlap!$F$12&gt;18,IF((Karakterlap!$F$12-IF(BK89&gt;18,BK89,18))&gt;0,Karakterlap!$F$12-IF(BK89&gt;18,BK89,18),0),0)</f>
        <v>#VALUE!</v>
      </c>
      <c r="BN89" t="s">
        <v>977</v>
      </c>
      <c r="BW89" s="5"/>
      <c r="BX89" s="97" t="s">
        <v>190</v>
      </c>
      <c r="BY89" s="97" t="s">
        <v>190</v>
      </c>
      <c r="BZ89" s="97" t="s">
        <v>187</v>
      </c>
      <c r="CA89" s="97" t="s">
        <v>187</v>
      </c>
      <c r="CB89" s="97" t="s">
        <v>193</v>
      </c>
      <c r="CC89" s="97" t="s">
        <v>190</v>
      </c>
      <c r="CD89" s="97" t="s">
        <v>189</v>
      </c>
      <c r="CE89" s="97" t="s">
        <v>190</v>
      </c>
      <c r="CF89" s="97" t="s">
        <v>192</v>
      </c>
      <c r="CG89" s="97" t="s">
        <v>190</v>
      </c>
    </row>
    <row r="90" spans="1:85" x14ac:dyDescent="0.2">
      <c r="L90" s="9" t="s">
        <v>933</v>
      </c>
      <c r="M90" s="9">
        <v>0</v>
      </c>
      <c r="N90" s="9">
        <v>176</v>
      </c>
      <c r="O90" s="9">
        <v>353</v>
      </c>
      <c r="P90" s="9">
        <v>721</v>
      </c>
      <c r="Q90" s="9">
        <v>1501</v>
      </c>
      <c r="R90" s="9">
        <v>3501</v>
      </c>
      <c r="S90" s="9">
        <v>7001</v>
      </c>
      <c r="T90" s="9">
        <v>10501</v>
      </c>
      <c r="U90" s="9">
        <v>21001</v>
      </c>
      <c r="V90" s="9">
        <v>48001</v>
      </c>
      <c r="W90" s="9">
        <v>78001</v>
      </c>
      <c r="X90" s="9">
        <v>108001</v>
      </c>
      <c r="Y90" s="9">
        <f>IFERROR(IF(VLOOKUP(L90,Karakterlap!$P$3:$Z$4,10,FALSE)&gt;13,138001+((VLOOKUP(L90,Karakterlap!$P$3:$Z$4,10,FALSE)-13)*38000),138001),138001)</f>
        <v>138001</v>
      </c>
      <c r="Z90" s="9">
        <v>5</v>
      </c>
      <c r="AA90" s="9">
        <v>20</v>
      </c>
      <c r="AB90" s="9">
        <v>75</v>
      </c>
      <c r="AC90" s="9">
        <v>0</v>
      </c>
      <c r="AD90" s="9">
        <f>IFERROR(VLOOKUP(L90,Karakterlap!$P$3:$Z$4,10,FALSE)*9,9)</f>
        <v>9</v>
      </c>
      <c r="AE90" s="9">
        <f>IFERROR(IF(Karakterlap!$P$5="Váltott kaszt",IF(Karakterlap!$P$3=Adattábla!$L90,Karakterlap!$Y$3*3,IF(Karakterlap!$P$4=Adattábla!$L90,(Karakterlap!$Y$4-Adattábla!$I$20)*3,3)),VLOOKUP(Adattábla!$L90,Karakterlap!$P$3:$Z$4,10,FALSE)*3),3)</f>
        <v>3</v>
      </c>
      <c r="AF90" s="9">
        <f>IFERROR(IF(Karakterlap!$P$5="Váltott kaszt",IF(Karakterlap!$P$3=Adattábla!$L90,Karakterlap!$Y$3*3,IF(Karakterlap!$P$4=Adattábla!$L90,(Karakterlap!$Y$4-Adattábla!$I$20)*3,3)),VLOOKUP(Adattábla!$L90,Karakterlap!$P$3:$Z$4,10,FALSE)*3),3)</f>
        <v>3</v>
      </c>
      <c r="AG90" s="9">
        <v>5</v>
      </c>
      <c r="AH90" s="9">
        <f>IF(Karakterlap!$P$5="Iker kaszt",IF(Karakterlap!$P$3=L90,IFERROR((Karakterlap!$P$6*5)+(VLOOKUP(L90,Karakterlap!$P$3:$Z$4,10,FALSE)-Karakterlap!$P$6),5),IF(Karakterlap!$P$4=L90,VLOOKUP(L90,Karakterlap!$P$3:$Z$4,10,FALSE),5)),IF(Karakterlap!$P$5="Váltott kaszt",IF(L90=Karakterlap!$P$3,(Karakterlap!$Y$3+3)*5,VLOOKUP(L90,Karakterlap!$P$3:$Z$4,10,FALSE)*5),IFERROR(VLOOKUP(L90,Karakterlap!$P$3:$Z$4,10,FALSE)*5,5)))</f>
        <v>5</v>
      </c>
      <c r="AI90" s="9">
        <v>0</v>
      </c>
      <c r="AJ90" s="9">
        <v>8</v>
      </c>
      <c r="AK90" s="9">
        <v>7</v>
      </c>
      <c r="AL90" s="9">
        <f>IFERROR(VLOOKUP(L90,Karakterlap!$P$3:$Z$4,10,FALSE)*($E$18+5),$E$18+5)</f>
        <v>11</v>
      </c>
      <c r="AM90" s="9">
        <f>IFERROR(IF(VLOOKUP(L90,Karakterlap!$P$3:$Z$4,10,FALSE)&gt;1,9+((VLOOKUP(L90,Karakterlap!$P$3:$Z$4,10,FALSE)-1)*((ROUND($E$18/2,0))+6)),9),9)</f>
        <v>9</v>
      </c>
      <c r="AN90" s="9" t="s">
        <v>92</v>
      </c>
      <c r="AO90" s="9" t="str">
        <f>IFERROR((IF(Karakterlap!$F$9&gt;10,Karakterlap!$F$9-10,0))+5+((VLOOKUP(L90,Karakterlap!$P$3:$Z$4,10,FALSE)-1)*4),"más kaszt")</f>
        <v>más kaszt</v>
      </c>
      <c r="AP90" s="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9">
        <f>IFERROR(IF(Karakterlap!$P$6&gt;13,138001+((Karakterlap!$P$6-13)*38000),138001),138001)</f>
        <v>138001</v>
      </c>
      <c r="BB90" s="36">
        <f>VLOOKUP("k10+8",$I$2:$J$11,2,FALSE)+IFERROR(VLOOKUP(Karakterlap!$V$7,$A$24:$C$33,3,FALSE),0)</f>
        <v>14</v>
      </c>
      <c r="BC90" s="36">
        <f>VLOOKUP("k10+8",$I$2:$J$11,2,FALSE)+IFERROR(VLOOKUP(Karakterlap!$V$7,$A$24:$D$33,4,FALSE),0)</f>
        <v>14</v>
      </c>
      <c r="BD90" s="36">
        <f>VLOOKUP("3k6(2x)",$I$2:$J$11,2,FALSE)+IFERROR(VLOOKUP(Karakterlap!$V$7,$A$24:$E$33,5,FALSE),0)</f>
        <v>11</v>
      </c>
      <c r="BE90" s="36">
        <f>VLOOKUP("3k6(2x)",$I$2:$J$11,2,FALSE)+IFERROR(VLOOKUP(Karakterlap!$V$7,$A$24:$F$33,6,FALSE),0)</f>
        <v>11</v>
      </c>
      <c r="BF90" s="48">
        <f>VLOOKUP("k10+10",$I$2:$J$11,2,FALSE)+IFERROR(VLOOKUP(Karakterlap!$V$7,$A$24:$G$33,7,FALSE),0)</f>
        <v>16</v>
      </c>
      <c r="BG90" s="36">
        <f>VLOOKUP("k10+8",$I$2:$J$11,2,FALSE)+IFERROR(VLOOKUP(Karakterlap!$V$7,$A$24:$H$33,8,FALSE),0)</f>
        <v>14</v>
      </c>
      <c r="BH90" s="36">
        <f>VLOOKUP("2k6+6",$I$2:$J$11,2,FALSE)+IFERROR(VLOOKUP(Karakterlap!$V$7,$A$24:$I$33,9,FALSE),0)</f>
        <v>13</v>
      </c>
      <c r="BI90" s="36">
        <f t="shared" si="4"/>
        <v>14</v>
      </c>
      <c r="BJ90" s="36">
        <f>VLOOKUP("k6+12",$I$2:$J$11,2,FALSE)+IFERROR(VLOOKUP(Karakterlap!$V$7,$A$24:$J$33,10,FALSE),0)</f>
        <v>16</v>
      </c>
      <c r="BK90" s="36">
        <f t="shared" si="5"/>
        <v>14</v>
      </c>
      <c r="BL90" s="36">
        <f>IF((SUM(Karakterlap!$F$3:$F$12)-SUM(BB90:BK90))&lt;0,0,SUM(Karakterlap!$F$3:$F$12)-SUM(BB90:BK90))</f>
        <v>0</v>
      </c>
      <c r="BM90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90&gt;18,BI90,18))&gt;0,Karakterlap!$F$10-IF(BI90&gt;18,BI90,18),0),0)+IF(Karakterlap!$F$11&gt;(18+IFERROR(VLOOKUP(Karakterlap!$V$7,$A$24:$J$33,10,FALSE),0)),(Karakterlap!$F$11-(18+IFERROR(VLOOKUP(Karakterlap!$V$7,$A$24:$J$33,10,FALSE),0))),0)+IF(Karakterlap!$F$12&gt;18,IF((Karakterlap!$F$12-IF(BK90&gt;18,BK90,18))&gt;0,Karakterlap!$F$12-IF(BK90&gt;18,BK90,18),0),0)</f>
        <v>#VALUE!</v>
      </c>
      <c r="BN90" t="s">
        <v>977</v>
      </c>
      <c r="BW90" s="5"/>
      <c r="BX90" s="97" t="s">
        <v>190</v>
      </c>
      <c r="BY90" s="97" t="s">
        <v>190</v>
      </c>
      <c r="BZ90" s="97" t="s">
        <v>187</v>
      </c>
      <c r="CA90" s="97" t="s">
        <v>187</v>
      </c>
      <c r="CB90" s="97" t="s">
        <v>193</v>
      </c>
      <c r="CC90" s="97" t="s">
        <v>190</v>
      </c>
      <c r="CD90" s="97" t="s">
        <v>189</v>
      </c>
      <c r="CE90" s="97" t="s">
        <v>190</v>
      </c>
      <c r="CF90" s="97" t="s">
        <v>192</v>
      </c>
      <c r="CG90" s="97" t="s">
        <v>190</v>
      </c>
    </row>
    <row r="91" spans="1:85" x14ac:dyDescent="0.2">
      <c r="L91" s="9" t="s">
        <v>934</v>
      </c>
      <c r="M91" s="9">
        <v>0</v>
      </c>
      <c r="N91" s="9">
        <v>176</v>
      </c>
      <c r="O91" s="9">
        <v>353</v>
      </c>
      <c r="P91" s="9">
        <v>721</v>
      </c>
      <c r="Q91" s="9">
        <v>1501</v>
      </c>
      <c r="R91" s="9">
        <v>3501</v>
      </c>
      <c r="S91" s="9">
        <v>7001</v>
      </c>
      <c r="T91" s="9">
        <v>10501</v>
      </c>
      <c r="U91" s="9">
        <v>21001</v>
      </c>
      <c r="V91" s="9">
        <v>48001</v>
      </c>
      <c r="W91" s="9">
        <v>78001</v>
      </c>
      <c r="X91" s="9">
        <v>108001</v>
      </c>
      <c r="Y91" s="9">
        <f>IFERROR(IF(VLOOKUP(L91,Karakterlap!$P$3:$Z$4,10,FALSE)&gt;13,138001+((VLOOKUP(L91,Karakterlap!$P$3:$Z$4,10,FALSE)-13)*38000),138001),138001)</f>
        <v>138001</v>
      </c>
      <c r="Z91" s="9">
        <v>5</v>
      </c>
      <c r="AA91" s="9">
        <v>20</v>
      </c>
      <c r="AB91" s="9">
        <v>75</v>
      </c>
      <c r="AC91" s="9">
        <v>0</v>
      </c>
      <c r="AD91" s="9">
        <f>IFERROR(VLOOKUP(L91,Karakterlap!$P$3:$Z$4,10,FALSE)*9,9)</f>
        <v>9</v>
      </c>
      <c r="AE91" s="9">
        <f>IFERROR(IF(Karakterlap!$P$5="Váltott kaszt",IF(Karakterlap!$P$3=Adattábla!$L91,Karakterlap!$Y$3*3,IF(Karakterlap!$P$4=Adattábla!$L91,(Karakterlap!$Y$4-Adattábla!$I$20)*3,3)),VLOOKUP(Adattábla!$L91,Karakterlap!$P$3:$Z$4,10,FALSE)*3),3)</f>
        <v>3</v>
      </c>
      <c r="AF91" s="9">
        <f>IFERROR(IF(Karakterlap!$P$5="Váltott kaszt",IF(Karakterlap!$P$3=Adattábla!$L91,Karakterlap!$Y$3*3,IF(Karakterlap!$P$4=Adattábla!$L91,(Karakterlap!$Y$4-Adattábla!$I$20)*3,3)),VLOOKUP(Adattábla!$L91,Karakterlap!$P$3:$Z$4,10,FALSE)*3),3)</f>
        <v>3</v>
      </c>
      <c r="AG91" s="9">
        <v>5</v>
      </c>
      <c r="AH91" s="9">
        <f>IF(Karakterlap!$P$5="Iker kaszt",IF(Karakterlap!$P$3=L91,IFERROR((Karakterlap!$P$6*5)+(VLOOKUP(L91,Karakterlap!$P$3:$Z$4,10,FALSE)-Karakterlap!$P$6),5),IF(Karakterlap!$P$4=L91,VLOOKUP(L91,Karakterlap!$P$3:$Z$4,10,FALSE),5)),IF(Karakterlap!$P$5="Váltott kaszt",IF(L91=Karakterlap!$P$3,(Karakterlap!$Y$3+3)*5,VLOOKUP(L91,Karakterlap!$P$3:$Z$4,10,FALSE)*5),IFERROR(VLOOKUP(L91,Karakterlap!$P$3:$Z$4,10,FALSE)*5,5)))</f>
        <v>5</v>
      </c>
      <c r="AI91" s="9">
        <v>0</v>
      </c>
      <c r="AJ91" s="9">
        <v>8</v>
      </c>
      <c r="AK91" s="9">
        <v>7</v>
      </c>
      <c r="AL91" s="9">
        <f>IFERROR(VLOOKUP(L91,Karakterlap!$P$3:$Z$4,10,FALSE)*($E$18+5),$E$18+5)</f>
        <v>11</v>
      </c>
      <c r="AM91" s="9">
        <f>IFERROR(IF(VLOOKUP(L91,Karakterlap!$P$3:$Z$4,10,FALSE)&gt;1,9+((VLOOKUP(L91,Karakterlap!$P$3:$Z$4,10,FALSE)-1)*((ROUND($E$18/2,0))+6)),9),9)</f>
        <v>9</v>
      </c>
      <c r="AN91" s="9" t="s">
        <v>92</v>
      </c>
      <c r="AO91" s="9" t="str">
        <f>IFERROR((IF(Karakterlap!$F$9&gt;10,Karakterlap!$F$9-10,0))+5+((VLOOKUP(L91,Karakterlap!$P$3:$Z$4,10,FALSE)-1)*4),"más kaszt")</f>
        <v>más kaszt</v>
      </c>
      <c r="AP91" s="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9">
        <f>IFERROR(IF(Karakterlap!$P$6&gt;13,138001+((Karakterlap!$P$6-13)*38000),138001),138001)</f>
        <v>138001</v>
      </c>
      <c r="BB91" s="36">
        <f>VLOOKUP("k10+8",$I$2:$J$11,2,FALSE)+IFERROR(VLOOKUP(Karakterlap!$V$7,$A$24:$C$33,3,FALSE),0)</f>
        <v>14</v>
      </c>
      <c r="BC91" s="36">
        <f>VLOOKUP("k10+8",$I$2:$J$11,2,FALSE)+IFERROR(VLOOKUP(Karakterlap!$V$7,$A$24:$D$33,4,FALSE),0)</f>
        <v>14</v>
      </c>
      <c r="BD91" s="36">
        <f>VLOOKUP("3k6(2x)",$I$2:$J$11,2,FALSE)+IFERROR(VLOOKUP(Karakterlap!$V$7,$A$24:$E$33,5,FALSE),0)</f>
        <v>11</v>
      </c>
      <c r="BE91" s="36">
        <f>VLOOKUP("3k6(2x)",$I$2:$J$11,2,FALSE)+IFERROR(VLOOKUP(Karakterlap!$V$7,$A$24:$F$33,6,FALSE),0)</f>
        <v>11</v>
      </c>
      <c r="BF91" s="48">
        <f>VLOOKUP("k10+10",$I$2:$J$11,2,FALSE)+IFERROR(VLOOKUP(Karakterlap!$V$7,$A$24:$G$33,7,FALSE),0)</f>
        <v>16</v>
      </c>
      <c r="BG91" s="36">
        <f>VLOOKUP("k10+8",$I$2:$J$11,2,FALSE)+IFERROR(VLOOKUP(Karakterlap!$V$7,$A$24:$H$33,8,FALSE),0)</f>
        <v>14</v>
      </c>
      <c r="BH91" s="36">
        <f>VLOOKUP("2k6+6",$I$2:$J$11,2,FALSE)+IFERROR(VLOOKUP(Karakterlap!$V$7,$A$24:$I$33,9,FALSE),0)</f>
        <v>13</v>
      </c>
      <c r="BI91" s="36">
        <f t="shared" si="4"/>
        <v>14</v>
      </c>
      <c r="BJ91" s="36">
        <f>VLOOKUP("k6+12",$I$2:$J$11,2,FALSE)+IFERROR(VLOOKUP(Karakterlap!$V$7,$A$24:$J$33,10,FALSE),0)</f>
        <v>16</v>
      </c>
      <c r="BK91" s="36">
        <f t="shared" si="5"/>
        <v>14</v>
      </c>
      <c r="BL91" s="36">
        <f>IF((SUM(Karakterlap!$F$3:$F$12)-SUM(BB91:BK91))&lt;0,0,SUM(Karakterlap!$F$3:$F$12)-SUM(BB91:BK91))</f>
        <v>0</v>
      </c>
      <c r="BM91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91&gt;18,BI91,18))&gt;0,Karakterlap!$F$10-IF(BI91&gt;18,BI91,18),0),0)+IF(Karakterlap!$F$11&gt;(18+IFERROR(VLOOKUP(Karakterlap!$V$7,$A$24:$J$33,10,FALSE),0)),(Karakterlap!$F$11-(18+IFERROR(VLOOKUP(Karakterlap!$V$7,$A$24:$J$33,10,FALSE),0))),0)+IF(Karakterlap!$F$12&gt;18,IF((Karakterlap!$F$12-IF(BK91&gt;18,BK91,18))&gt;0,Karakterlap!$F$12-IF(BK91&gt;18,BK91,18),0),0)</f>
        <v>#VALUE!</v>
      </c>
      <c r="BN91" t="s">
        <v>977</v>
      </c>
      <c r="BW91" s="5"/>
      <c r="BX91" s="97" t="s">
        <v>190</v>
      </c>
      <c r="BY91" s="97" t="s">
        <v>190</v>
      </c>
      <c r="BZ91" s="97" t="s">
        <v>187</v>
      </c>
      <c r="CA91" s="97" t="s">
        <v>187</v>
      </c>
      <c r="CB91" s="97" t="s">
        <v>193</v>
      </c>
      <c r="CC91" s="97" t="s">
        <v>190</v>
      </c>
      <c r="CD91" s="97" t="s">
        <v>189</v>
      </c>
      <c r="CE91" s="97" t="s">
        <v>190</v>
      </c>
      <c r="CF91" s="97" t="s">
        <v>192</v>
      </c>
      <c r="CG91" s="97" t="s">
        <v>190</v>
      </c>
    </row>
    <row r="92" spans="1:85" x14ac:dyDescent="0.2">
      <c r="L92" s="9" t="s">
        <v>936</v>
      </c>
      <c r="M92" s="9">
        <v>0</v>
      </c>
      <c r="N92" s="9">
        <v>176</v>
      </c>
      <c r="O92" s="9">
        <v>353</v>
      </c>
      <c r="P92" s="9">
        <v>721</v>
      </c>
      <c r="Q92" s="9">
        <v>1501</v>
      </c>
      <c r="R92" s="9">
        <v>3501</v>
      </c>
      <c r="S92" s="9">
        <v>7001</v>
      </c>
      <c r="T92" s="9">
        <v>10501</v>
      </c>
      <c r="U92" s="9">
        <v>21001</v>
      </c>
      <c r="V92" s="9">
        <v>48001</v>
      </c>
      <c r="W92" s="9">
        <v>78001</v>
      </c>
      <c r="X92" s="9">
        <v>108001</v>
      </c>
      <c r="Y92" s="9">
        <f>IFERROR(IF(VLOOKUP(L92,Karakterlap!$P$3:$Z$4,10,FALSE)&gt;13,138001+((VLOOKUP(L92,Karakterlap!$P$3:$Z$4,10,FALSE)-13)*38000),138001),138001)</f>
        <v>138001</v>
      </c>
      <c r="Z92" s="9">
        <v>5</v>
      </c>
      <c r="AA92" s="9">
        <v>20</v>
      </c>
      <c r="AB92" s="9">
        <v>75</v>
      </c>
      <c r="AC92" s="9">
        <v>0</v>
      </c>
      <c r="AD92" s="9">
        <f>IFERROR(VLOOKUP(L92,Karakterlap!$P$3:$Z$4,10,FALSE)*9,9)</f>
        <v>9</v>
      </c>
      <c r="AE92" s="9">
        <f>IFERROR(IF(Karakterlap!$P$5="Váltott kaszt",IF(Karakterlap!$P$3=Adattábla!$L92,Karakterlap!$Y$3*3,IF(Karakterlap!$P$4=Adattábla!$L92,(Karakterlap!$Y$4-Adattábla!$I$20)*3,3)),VLOOKUP(Adattábla!$L92,Karakterlap!$P$3:$Z$4,10,FALSE)*3),3)</f>
        <v>3</v>
      </c>
      <c r="AF92" s="9">
        <f>IFERROR(IF(Karakterlap!$P$5="Váltott kaszt",IF(Karakterlap!$P$3=Adattábla!$L92,Karakterlap!$Y$3*3,IF(Karakterlap!$P$4=Adattábla!$L92,(Karakterlap!$Y$4-Adattábla!$I$20)*3,3)),VLOOKUP(Adattábla!$L92,Karakterlap!$P$3:$Z$4,10,FALSE)*3),3)</f>
        <v>3</v>
      </c>
      <c r="AG92" s="9">
        <v>5</v>
      </c>
      <c r="AH92" s="9">
        <f>IF(Karakterlap!$P$5="Iker kaszt",IF(Karakterlap!$P$3=L92,IFERROR((Karakterlap!$P$6*5)+(VLOOKUP(L92,Karakterlap!$P$3:$Z$4,10,FALSE)-Karakterlap!$P$6),5),IF(Karakterlap!$P$4=L92,VLOOKUP(L92,Karakterlap!$P$3:$Z$4,10,FALSE),5)),IF(Karakterlap!$P$5="Váltott kaszt",IF(L92=Karakterlap!$P$3,(Karakterlap!$Y$3+3)*5,VLOOKUP(L92,Karakterlap!$P$3:$Z$4,10,FALSE)*5),IFERROR(VLOOKUP(L92,Karakterlap!$P$3:$Z$4,10,FALSE)*5,5)))</f>
        <v>5</v>
      </c>
      <c r="AI92" s="9">
        <v>0</v>
      </c>
      <c r="AJ92" s="9">
        <v>8</v>
      </c>
      <c r="AK92" s="9">
        <v>7</v>
      </c>
      <c r="AL92" s="9">
        <f>IFERROR(VLOOKUP(L92,Karakterlap!$P$3:$Z$4,10,FALSE)*($E$18+5),$E$18+5)</f>
        <v>11</v>
      </c>
      <c r="AM92" s="9">
        <f>IFERROR(IF(VLOOKUP(L92,Karakterlap!$P$3:$Z$4,10,FALSE)&gt;1,9+((VLOOKUP(L92,Karakterlap!$P$3:$Z$4,10,FALSE)-1)*(ROUND($E$18/2,0)+4)),9),9)</f>
        <v>9</v>
      </c>
      <c r="AN92" s="9" t="s">
        <v>92</v>
      </c>
      <c r="AO92" s="9" t="str">
        <f>IFERROR((IF(Karakterlap!$F$9&gt;10,Karakterlap!$F$9-10,0))+5+((VLOOKUP(L92,Karakterlap!$P$3:$Z$4,10,FALSE)-1)*4),"más kaszt")</f>
        <v>más kaszt</v>
      </c>
      <c r="AP92" s="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9">
        <f>IFERROR(IF(Karakterlap!$P$6&gt;13,138001+((Karakterlap!$P$6-13)*38000),138001),138001)</f>
        <v>138001</v>
      </c>
      <c r="BB92" s="36">
        <f>VLOOKUP("k10+8",$I$2:$J$11,2,FALSE)+IFERROR(VLOOKUP(Karakterlap!$V$7,$A$24:$C$33,3,FALSE),0)</f>
        <v>14</v>
      </c>
      <c r="BC92" s="36">
        <f>VLOOKUP("k10+8",$I$2:$J$11,2,FALSE)+IFERROR(VLOOKUP(Karakterlap!$V$7,$A$24:$D$33,4,FALSE),0)</f>
        <v>14</v>
      </c>
      <c r="BD92" s="36">
        <f>VLOOKUP("3k6(2x)",$I$2:$J$11,2,FALSE)+IFERROR(VLOOKUP(Karakterlap!$V$7,$A$24:$E$33,5,FALSE),0)</f>
        <v>11</v>
      </c>
      <c r="BE92" s="36">
        <f>VLOOKUP("3k6(2x)",$I$2:$J$11,2,FALSE)+IFERROR(VLOOKUP(Karakterlap!$V$7,$A$24:$F$33,6,FALSE),0)</f>
        <v>11</v>
      </c>
      <c r="BF92" s="48">
        <f>VLOOKUP("k10+10",$I$2:$J$11,2,FALSE)+IFERROR(VLOOKUP(Karakterlap!$V$7,$A$24:$G$33,7,FALSE),0)</f>
        <v>16</v>
      </c>
      <c r="BG92" s="36">
        <f>VLOOKUP("k10+8",$I$2:$J$11,2,FALSE)+IFERROR(VLOOKUP(Karakterlap!$V$7,$A$24:$H$33,8,FALSE),0)</f>
        <v>14</v>
      </c>
      <c r="BH92" s="36">
        <f>VLOOKUP("2k6+6",$I$2:$J$11,2,FALSE)+IFERROR(VLOOKUP(Karakterlap!$V$7,$A$24:$I$33,9,FALSE),0)</f>
        <v>13</v>
      </c>
      <c r="BI92" s="36">
        <f t="shared" si="4"/>
        <v>14</v>
      </c>
      <c r="BJ92" s="36">
        <f>VLOOKUP("k6+12",$I$2:$J$11,2,FALSE)+IFERROR(VLOOKUP(Karakterlap!$V$7,$A$24:$J$33,10,FALSE),0)</f>
        <v>16</v>
      </c>
      <c r="BK92" s="36">
        <f t="shared" si="5"/>
        <v>14</v>
      </c>
      <c r="BL92" s="36">
        <f>IF((SUM(Karakterlap!$F$3:$F$12)-SUM(BB92:BK92))&lt;0,0,SUM(Karakterlap!$F$3:$F$12)-SUM(BB92:BK92))</f>
        <v>0</v>
      </c>
      <c r="BM92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92&gt;18,BI92,18))&gt;0,Karakterlap!$F$10-IF(BI92&gt;18,BI92,18),0),0)+IF(Karakterlap!$F$11&gt;(18+IFERROR(VLOOKUP(Karakterlap!$V$7,$A$24:$J$33,10,FALSE),0)),(Karakterlap!$F$11-(18+IFERROR(VLOOKUP(Karakterlap!$V$7,$A$24:$J$33,10,FALSE),0))),0)+IF(Karakterlap!$F$12&gt;18,IF((Karakterlap!$F$12-IF(BK92&gt;18,BK92,18))&gt;0,Karakterlap!$F$12-IF(BK92&gt;18,BK92,18),0),0)</f>
        <v>#VALUE!</v>
      </c>
      <c r="BN92" t="s">
        <v>977</v>
      </c>
      <c r="BW92" s="5"/>
      <c r="BX92" s="97" t="s">
        <v>190</v>
      </c>
      <c r="BY92" s="97" t="s">
        <v>190</v>
      </c>
      <c r="BZ92" s="97" t="s">
        <v>187</v>
      </c>
      <c r="CA92" s="97" t="s">
        <v>187</v>
      </c>
      <c r="CB92" s="97" t="s">
        <v>193</v>
      </c>
      <c r="CC92" s="97" t="s">
        <v>190</v>
      </c>
      <c r="CD92" s="97" t="s">
        <v>189</v>
      </c>
      <c r="CE92" s="97" t="s">
        <v>190</v>
      </c>
      <c r="CF92" s="97" t="s">
        <v>192</v>
      </c>
      <c r="CG92" s="97" t="s">
        <v>190</v>
      </c>
    </row>
    <row r="93" spans="1:85" x14ac:dyDescent="0.2">
      <c r="L93" s="9" t="s">
        <v>937</v>
      </c>
      <c r="M93" s="9">
        <v>0</v>
      </c>
      <c r="N93" s="9">
        <v>176</v>
      </c>
      <c r="O93" s="9">
        <v>353</v>
      </c>
      <c r="P93" s="9">
        <v>721</v>
      </c>
      <c r="Q93" s="9">
        <v>1501</v>
      </c>
      <c r="R93" s="9">
        <v>3501</v>
      </c>
      <c r="S93" s="9">
        <v>7001</v>
      </c>
      <c r="T93" s="9">
        <v>10501</v>
      </c>
      <c r="U93" s="9">
        <v>21001</v>
      </c>
      <c r="V93" s="9">
        <v>48001</v>
      </c>
      <c r="W93" s="9">
        <v>78001</v>
      </c>
      <c r="X93" s="9">
        <v>108001</v>
      </c>
      <c r="Y93" s="9">
        <f>IFERROR(IF(VLOOKUP(L93,Karakterlap!$P$3:$Z$4,10,FALSE)&gt;13,138001+((VLOOKUP(L93,Karakterlap!$P$3:$Z$4,10,FALSE)-13)*38000),138001),138001)</f>
        <v>138001</v>
      </c>
      <c r="Z93" s="9">
        <v>5</v>
      </c>
      <c r="AA93" s="9">
        <v>20</v>
      </c>
      <c r="AB93" s="9">
        <v>75</v>
      </c>
      <c r="AC93" s="9">
        <v>0</v>
      </c>
      <c r="AD93" s="9">
        <f>IFERROR(VLOOKUP(L93,Karakterlap!$P$3:$Z$4,10,FALSE)*9,9)</f>
        <v>9</v>
      </c>
      <c r="AE93" s="9">
        <f>IFERROR(IF(Karakterlap!$P$5="Váltott kaszt",IF(Karakterlap!$P$3=Adattábla!$L93,Karakterlap!$Y$3*3,IF(Karakterlap!$P$4=Adattábla!$L93,(Karakterlap!$Y$4-Adattábla!$I$20)*3,3)),VLOOKUP(Adattábla!$L93,Karakterlap!$P$3:$Z$4,10,FALSE)*3),3)</f>
        <v>3</v>
      </c>
      <c r="AF93" s="9">
        <f>IFERROR(IF(Karakterlap!$P$5="Váltott kaszt",IF(Karakterlap!$P$3=Adattábla!$L93,Karakterlap!$Y$3*3,IF(Karakterlap!$P$4=Adattábla!$L93,(Karakterlap!$Y$4-Adattábla!$I$20)*3,3)),VLOOKUP(Adattábla!$L93,Karakterlap!$P$3:$Z$4,10,FALSE)*3),3)</f>
        <v>3</v>
      </c>
      <c r="AG93" s="9">
        <v>5</v>
      </c>
      <c r="AH93" s="9">
        <f>IF(Karakterlap!$P$5="Iker kaszt",IF(Karakterlap!$P$3=L93,IFERROR((Karakterlap!$P$6*5)+(VLOOKUP(L93,Karakterlap!$P$3:$Z$4,10,FALSE)-Karakterlap!$P$6),5),IF(Karakterlap!$P$4=L93,VLOOKUP(L93,Karakterlap!$P$3:$Z$4,10,FALSE),5)),IF(Karakterlap!$P$5="Váltott kaszt",IF(L93=Karakterlap!$P$3,(Karakterlap!$Y$3+3)*5,VLOOKUP(L93,Karakterlap!$P$3:$Z$4,10,FALSE)*5),IFERROR(VLOOKUP(L93,Karakterlap!$P$3:$Z$4,10,FALSE)*5,5)))</f>
        <v>5</v>
      </c>
      <c r="AI93" s="9">
        <v>0</v>
      </c>
      <c r="AJ93" s="9">
        <v>8</v>
      </c>
      <c r="AK93" s="9">
        <v>7</v>
      </c>
      <c r="AL93" s="9">
        <f>IFERROR(VLOOKUP(L93,Karakterlap!$P$3:$Z$4,10,FALSE)*($E$18+5),$E$18+5)</f>
        <v>11</v>
      </c>
      <c r="AM93" s="9">
        <f>IFERROR(IF(VLOOKUP(L93,Karakterlap!$P$3:$Z$4,10,FALSE)&gt;1,9+((VLOOKUP(L93,Karakterlap!$P$3:$Z$4,10,FALSE)-1)*((ROUND($E$18/2,0))+6)),9),9)</f>
        <v>9</v>
      </c>
      <c r="AN93" s="9" t="s">
        <v>92</v>
      </c>
      <c r="AO93" s="9" t="str">
        <f>IFERROR((IF(Karakterlap!$F$9&gt;10,Karakterlap!$F$9-10,0))+5+((VLOOKUP(L93,Karakterlap!$P$3:$Z$4,10,FALSE)-1)*4),"más kaszt")</f>
        <v>más kaszt</v>
      </c>
      <c r="AP93" s="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9">
        <f>IFERROR(IF(Karakterlap!$P$6&gt;13,138001+((Karakterlap!$P$6-13)*38000),138001),138001)</f>
        <v>138001</v>
      </c>
      <c r="BB93" s="36">
        <f>VLOOKUP("k10+8",$I$2:$J$11,2,FALSE)+IFERROR(VLOOKUP(Karakterlap!$V$7,$A$24:$C$33,3,FALSE),0)</f>
        <v>14</v>
      </c>
      <c r="BC93" s="36">
        <f>VLOOKUP("k10+8",$I$2:$J$11,2,FALSE)+IFERROR(VLOOKUP(Karakterlap!$V$7,$A$24:$D$33,4,FALSE),0)</f>
        <v>14</v>
      </c>
      <c r="BD93" s="36">
        <f>VLOOKUP("3k6(2x)",$I$2:$J$11,2,FALSE)+IFERROR(VLOOKUP(Karakterlap!$V$7,$A$24:$E$33,5,FALSE),0)</f>
        <v>11</v>
      </c>
      <c r="BE93" s="36">
        <f>VLOOKUP("3k6(2x)",$I$2:$J$11,2,FALSE)+IFERROR(VLOOKUP(Karakterlap!$V$7,$A$24:$F$33,6,FALSE),0)</f>
        <v>11</v>
      </c>
      <c r="BF93" s="48">
        <f>VLOOKUP("k10+10",$I$2:$J$11,2,FALSE)+IFERROR(VLOOKUP(Karakterlap!$V$7,$A$24:$G$33,7,FALSE),0)</f>
        <v>16</v>
      </c>
      <c r="BG93" s="36">
        <f>VLOOKUP("k10+8",$I$2:$J$11,2,FALSE)+IFERROR(VLOOKUP(Karakterlap!$V$7,$A$24:$H$33,8,FALSE),0)</f>
        <v>14</v>
      </c>
      <c r="BH93" s="36">
        <f>VLOOKUP("2k6+6",$I$2:$J$11,2,FALSE)+IFERROR(VLOOKUP(Karakterlap!$V$7,$A$24:$I$33,9,FALSE),0)</f>
        <v>13</v>
      </c>
      <c r="BI93" s="36">
        <f t="shared" si="4"/>
        <v>14</v>
      </c>
      <c r="BJ93" s="36">
        <f>VLOOKUP("k6+12",$I$2:$J$11,2,FALSE)+IFERROR(VLOOKUP(Karakterlap!$V$7,$A$24:$J$33,10,FALSE),0)</f>
        <v>16</v>
      </c>
      <c r="BK93" s="36">
        <f t="shared" si="5"/>
        <v>14</v>
      </c>
      <c r="BL93" s="36">
        <f>IF((SUM(Karakterlap!$F$3:$F$12)-SUM(BB93:BK93))&lt;0,0,SUM(Karakterlap!$F$3:$F$12)-SUM(BB93:BK93))</f>
        <v>0</v>
      </c>
      <c r="BM93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93&gt;18,BI93,18))&gt;0,Karakterlap!$F$10-IF(BI93&gt;18,BI93,18),0),0)+IF(Karakterlap!$F$11&gt;(18+IFERROR(VLOOKUP(Karakterlap!$V$7,$A$24:$J$33,10,FALSE),0)),(Karakterlap!$F$11-(18+IFERROR(VLOOKUP(Karakterlap!$V$7,$A$24:$J$33,10,FALSE),0))),0)+IF(Karakterlap!$F$12&gt;18,IF((Karakterlap!$F$12-IF(BK93&gt;18,BK93,18))&gt;0,Karakterlap!$F$12-IF(BK93&gt;18,BK93,18),0),0)</f>
        <v>#VALUE!</v>
      </c>
      <c r="BT93" t="s">
        <v>977</v>
      </c>
      <c r="BV93" t="s">
        <v>977</v>
      </c>
      <c r="BW93" s="5"/>
      <c r="BX93" s="97" t="s">
        <v>190</v>
      </c>
      <c r="BY93" s="97" t="s">
        <v>190</v>
      </c>
      <c r="BZ93" s="97" t="s">
        <v>187</v>
      </c>
      <c r="CA93" s="97" t="s">
        <v>187</v>
      </c>
      <c r="CB93" s="97" t="s">
        <v>193</v>
      </c>
      <c r="CC93" s="97" t="s">
        <v>190</v>
      </c>
      <c r="CD93" s="97" t="s">
        <v>189</v>
      </c>
      <c r="CE93" s="97" t="s">
        <v>190</v>
      </c>
      <c r="CF93" s="97" t="s">
        <v>192</v>
      </c>
      <c r="CG93" s="97" t="s">
        <v>190</v>
      </c>
    </row>
    <row r="94" spans="1:85" x14ac:dyDescent="0.2">
      <c r="L94" s="9" t="s">
        <v>940</v>
      </c>
      <c r="M94" s="9">
        <v>0</v>
      </c>
      <c r="N94" s="9">
        <v>176</v>
      </c>
      <c r="O94" s="9">
        <v>353</v>
      </c>
      <c r="P94" s="9">
        <v>721</v>
      </c>
      <c r="Q94" s="9">
        <v>1501</v>
      </c>
      <c r="R94" s="9">
        <v>3501</v>
      </c>
      <c r="S94" s="9">
        <v>7001</v>
      </c>
      <c r="T94" s="9">
        <v>10501</v>
      </c>
      <c r="U94" s="9">
        <v>21001</v>
      </c>
      <c r="V94" s="9">
        <v>48001</v>
      </c>
      <c r="W94" s="9">
        <v>78001</v>
      </c>
      <c r="X94" s="9">
        <v>108001</v>
      </c>
      <c r="Y94" s="9">
        <f>IFERROR(IF(VLOOKUP(L94,Karakterlap!$P$3:$Z$4,10,FALSE)&gt;13,138001+((VLOOKUP(L94,Karakterlap!$P$3:$Z$4,10,FALSE)-13)*38000),138001),138001)</f>
        <v>138001</v>
      </c>
      <c r="Z94" s="9">
        <v>5</v>
      </c>
      <c r="AA94" s="9">
        <v>20</v>
      </c>
      <c r="AB94" s="9">
        <v>75</v>
      </c>
      <c r="AC94" s="9">
        <v>0</v>
      </c>
      <c r="AD94" s="9">
        <f>IFERROR(VLOOKUP(L94,Karakterlap!$P$3:$Z$4,10,FALSE)*9,9)</f>
        <v>9</v>
      </c>
      <c r="AE94" s="9">
        <f>IFERROR(IF(Karakterlap!$P$5="Váltott kaszt",IF(Karakterlap!$P$3=Adattábla!$L94,Karakterlap!$Y$3*3,IF(Karakterlap!$P$4=Adattábla!$L94,(Karakterlap!$Y$4-Adattábla!$I$20)*3,3)),VLOOKUP(Adattábla!$L94,Karakterlap!$P$3:$Z$4,10,FALSE)*3),3)</f>
        <v>3</v>
      </c>
      <c r="AF94" s="9">
        <f>IFERROR(IF(Karakterlap!$P$5="Váltott kaszt",IF(Karakterlap!$P$3=Adattábla!$L94,Karakterlap!$Y$3*3,IF(Karakterlap!$P$4=Adattábla!$L94,(Karakterlap!$Y$4-Adattábla!$I$20)*3,3)),VLOOKUP(Adattábla!$L94,Karakterlap!$P$3:$Z$4,10,FALSE)*3),3)</f>
        <v>3</v>
      </c>
      <c r="AG94" s="9">
        <v>5</v>
      </c>
      <c r="AH94" s="9">
        <f>IF(Karakterlap!$P$5="Iker kaszt",IF(Karakterlap!$P$3=L94,IFERROR((Karakterlap!$P$6*5)+(VLOOKUP(L94,Karakterlap!$P$3:$Z$4,10,FALSE)-Karakterlap!$P$6),5),IF(Karakterlap!$P$4=L94,VLOOKUP(L94,Karakterlap!$P$3:$Z$4,10,FALSE),5)),IF(Karakterlap!$P$5="Váltott kaszt",IF(L94=Karakterlap!$P$3,(Karakterlap!$Y$3+3)*5,VLOOKUP(L94,Karakterlap!$P$3:$Z$4,10,FALSE)*5),IFERROR(VLOOKUP(L94,Karakterlap!$P$3:$Z$4,10,FALSE)*5,5)))</f>
        <v>5</v>
      </c>
      <c r="AI94" s="9">
        <v>0</v>
      </c>
      <c r="AJ94" s="9">
        <v>8</v>
      </c>
      <c r="AK94" s="9">
        <v>7</v>
      </c>
      <c r="AL94" s="9">
        <f>IFERROR(VLOOKUP(L94,Karakterlap!$P$3:$Z$4,10,FALSE)*($E$18+5),$E$18+5)</f>
        <v>11</v>
      </c>
      <c r="AM94" s="9">
        <f>IFERROR(IF(VLOOKUP(L94,Karakterlap!$P$3:$Z$4,10,FALSE)&gt;1,9+((VLOOKUP(L94,Karakterlap!$P$3:$Z$4,10,FALSE)-1)*((ROUND($E$18/2,0))+6)),9),9)</f>
        <v>9</v>
      </c>
      <c r="AN94" s="9" t="s">
        <v>92</v>
      </c>
      <c r="AO94" s="9" t="str">
        <f>IFERROR((IF(Karakterlap!$F$9&gt;10,Karakterlap!$F$9-10,0))+5+((VLOOKUP(L94,Karakterlap!$P$3:$Z$4,10,FALSE)-1)*4),"más kaszt")</f>
        <v>más kaszt</v>
      </c>
      <c r="AP94" s="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9">
        <f>IFERROR(IF(Karakterlap!$P$6&gt;13,138001+((Karakterlap!$P$6-13)*38000),138001),138001)</f>
        <v>138001</v>
      </c>
      <c r="BB94" s="36">
        <f>VLOOKUP("k10+8",$I$2:$J$11,2,FALSE)+IFERROR(VLOOKUP(Karakterlap!$V$7,$A$24:$C$33,3,FALSE),0)</f>
        <v>14</v>
      </c>
      <c r="BC94" s="36">
        <f>VLOOKUP("k10+8",$I$2:$J$11,2,FALSE)+IFERROR(VLOOKUP(Karakterlap!$V$7,$A$24:$D$33,4,FALSE),0)</f>
        <v>14</v>
      </c>
      <c r="BD94" s="36">
        <f>VLOOKUP("3k6(2x)",$I$2:$J$11,2,FALSE)+IFERROR(VLOOKUP(Karakterlap!$V$7,$A$24:$E$33,5,FALSE),0)</f>
        <v>11</v>
      </c>
      <c r="BE94" s="36">
        <f>VLOOKUP("3k6(2x)",$I$2:$J$11,2,FALSE)+IFERROR(VLOOKUP(Karakterlap!$V$7,$A$24:$F$33,6,FALSE),0)</f>
        <v>11</v>
      </c>
      <c r="BF94" s="48">
        <f>VLOOKUP("k10+10",$I$2:$J$11,2,FALSE)+IFERROR(VLOOKUP(Karakterlap!$V$7,$A$24:$G$33,7,FALSE),0)</f>
        <v>16</v>
      </c>
      <c r="BG94" s="36">
        <f>VLOOKUP("k10+8",$I$2:$J$11,2,FALSE)+IFERROR(VLOOKUP(Karakterlap!$V$7,$A$24:$H$33,8,FALSE),0)</f>
        <v>14</v>
      </c>
      <c r="BH94" s="36">
        <f>VLOOKUP("2k6+6",$I$2:$J$11,2,FALSE)+IFERROR(VLOOKUP(Karakterlap!$V$7,$A$24:$I$33,9,FALSE),0)</f>
        <v>13</v>
      </c>
      <c r="BI94" s="36">
        <f t="shared" si="4"/>
        <v>14</v>
      </c>
      <c r="BJ94" s="36">
        <f>VLOOKUP("k6+12",$I$2:$J$11,2,FALSE)+IFERROR(VLOOKUP(Karakterlap!$V$7,$A$24:$J$33,10,FALSE),0)</f>
        <v>16</v>
      </c>
      <c r="BK94" s="36">
        <f t="shared" si="5"/>
        <v>14</v>
      </c>
      <c r="BL94" s="36">
        <f>IF((SUM(Karakterlap!$F$3:$F$12)-SUM(BB94:BK94))&lt;0,0,SUM(Karakterlap!$F$3:$F$12)-SUM(BB94:BK94))</f>
        <v>0</v>
      </c>
      <c r="BM94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94&gt;18,BI94,18))&gt;0,Karakterlap!$F$10-IF(BI94&gt;18,BI94,18),0),0)+IF(Karakterlap!$F$11&gt;(18+IFERROR(VLOOKUP(Karakterlap!$V$7,$A$24:$J$33,10,FALSE),0)),(Karakterlap!$F$11-(18+IFERROR(VLOOKUP(Karakterlap!$V$7,$A$24:$J$33,10,FALSE),0))),0)+IF(Karakterlap!$F$12&gt;18,IF((Karakterlap!$F$12-IF(BK94&gt;18,BK94,18))&gt;0,Karakterlap!$F$12-IF(BK94&gt;18,BK94,18),0),0)</f>
        <v>#VALUE!</v>
      </c>
      <c r="BN94" t="s">
        <v>977</v>
      </c>
      <c r="BW94" s="5"/>
      <c r="BX94" s="97" t="s">
        <v>190</v>
      </c>
      <c r="BY94" s="97" t="s">
        <v>190</v>
      </c>
      <c r="BZ94" s="97" t="s">
        <v>187</v>
      </c>
      <c r="CA94" s="97" t="s">
        <v>187</v>
      </c>
      <c r="CB94" s="97" t="s">
        <v>193</v>
      </c>
      <c r="CC94" s="97" t="s">
        <v>190</v>
      </c>
      <c r="CD94" s="97" t="s">
        <v>189</v>
      </c>
      <c r="CE94" s="97" t="s">
        <v>190</v>
      </c>
      <c r="CF94" s="97" t="s">
        <v>192</v>
      </c>
      <c r="CG94" s="97" t="s">
        <v>190</v>
      </c>
    </row>
    <row r="95" spans="1:85" x14ac:dyDescent="0.2">
      <c r="L95" s="9" t="s">
        <v>942</v>
      </c>
      <c r="M95" s="9">
        <v>0</v>
      </c>
      <c r="N95" s="9">
        <v>176</v>
      </c>
      <c r="O95" s="9">
        <v>353</v>
      </c>
      <c r="P95" s="9">
        <v>721</v>
      </c>
      <c r="Q95" s="9">
        <v>1501</v>
      </c>
      <c r="R95" s="9">
        <v>3501</v>
      </c>
      <c r="S95" s="9">
        <v>7001</v>
      </c>
      <c r="T95" s="9">
        <v>10501</v>
      </c>
      <c r="U95" s="9">
        <v>21001</v>
      </c>
      <c r="V95" s="9">
        <v>48001</v>
      </c>
      <c r="W95" s="9">
        <v>78001</v>
      </c>
      <c r="X95" s="9">
        <v>108001</v>
      </c>
      <c r="Y95" s="9">
        <f>IFERROR(IF(VLOOKUP(L95,Karakterlap!$P$3:$Z$4,10,FALSE)&gt;13,138001+((VLOOKUP(L95,Karakterlap!$P$3:$Z$4,10,FALSE)-13)*38000),138001),138001)</f>
        <v>138001</v>
      </c>
      <c r="Z95" s="9">
        <v>5</v>
      </c>
      <c r="AA95" s="9">
        <v>20</v>
      </c>
      <c r="AB95" s="9">
        <v>75</v>
      </c>
      <c r="AC95" s="9">
        <v>0</v>
      </c>
      <c r="AD95" s="9">
        <f>IFERROR(VLOOKUP(L95,Karakterlap!$P$3:$Z$4,10,FALSE)*9,9)</f>
        <v>9</v>
      </c>
      <c r="AE95" s="9">
        <f>IFERROR(IF(Karakterlap!$P$5="Váltott kaszt",IF(Karakterlap!$P$3=Adattábla!$L95,Karakterlap!$Y$3*3,IF(Karakterlap!$P$4=Adattábla!$L95,(Karakterlap!$Y$4-Adattábla!$I$20)*3,3)),VLOOKUP(Adattábla!$L95,Karakterlap!$P$3:$Z$4,10,FALSE)*3),3)</f>
        <v>3</v>
      </c>
      <c r="AF95" s="9">
        <f>IFERROR(IF(Karakterlap!$P$5="Váltott kaszt",IF(Karakterlap!$P$3=Adattábla!$L95,Karakterlap!$Y$3*3,IF(Karakterlap!$P$4=Adattábla!$L95,(Karakterlap!$Y$4-Adattábla!$I$20)*3,3)),VLOOKUP(Adattábla!$L95,Karakterlap!$P$3:$Z$4,10,FALSE)*3),3)</f>
        <v>3</v>
      </c>
      <c r="AG95" s="9">
        <v>5</v>
      </c>
      <c r="AH95" s="9">
        <f>IF(Karakterlap!$P$5="Iker kaszt",IF(Karakterlap!$P$3=L95,IFERROR((Karakterlap!$P$6*5)+(VLOOKUP(L95,Karakterlap!$P$3:$Z$4,10,FALSE)-Karakterlap!$P$6),5),IF(Karakterlap!$P$4=L95,VLOOKUP(L95,Karakterlap!$P$3:$Z$4,10,FALSE),5)),IF(Karakterlap!$P$5="Váltott kaszt",IF(L95=Karakterlap!$P$3,(Karakterlap!$Y$3+3)*5,VLOOKUP(L95,Karakterlap!$P$3:$Z$4,10,FALSE)*5),IFERROR(VLOOKUP(L95,Karakterlap!$P$3:$Z$4,10,FALSE)*5,5)))</f>
        <v>5</v>
      </c>
      <c r="AI95" s="9">
        <v>0</v>
      </c>
      <c r="AJ95" s="9">
        <v>8</v>
      </c>
      <c r="AK95" s="9">
        <v>7</v>
      </c>
      <c r="AL95" s="9">
        <f>IFERROR(VLOOKUP(L95,Karakterlap!$P$3:$Z$4,10,FALSE)*($E$18+5),$E$18+5)</f>
        <v>11</v>
      </c>
      <c r="AM95" s="9">
        <f>IFERROR(VLOOKUP(L95,Karakterlap!$P$3:$Z$4,10,FALSE)*6,0)</f>
        <v>0</v>
      </c>
      <c r="AN95" s="9" t="s">
        <v>92</v>
      </c>
      <c r="AO95" s="9" t="str">
        <f>IFERROR((IF(Karakterlap!$F$9&gt;10,Karakterlap!$F$9-10,0))+5+((VLOOKUP(L95,Karakterlap!$P$3:$Z$4,10,FALSE)-1)*4),"más kaszt")</f>
        <v>más kaszt</v>
      </c>
      <c r="AP95" s="9"/>
      <c r="AQ95" s="29"/>
      <c r="AR95" s="29">
        <v>20</v>
      </c>
      <c r="AS95" s="29"/>
      <c r="AT95" s="29"/>
      <c r="AU95" s="29"/>
      <c r="AV95" s="29"/>
      <c r="AW95" s="29"/>
      <c r="AX95" s="29"/>
      <c r="AY95" s="29"/>
      <c r="AZ95" s="29"/>
      <c r="BA95" s="9">
        <f>IFERROR(IF(Karakterlap!$P$6&gt;13,138001+((Karakterlap!$P$6-13)*38000),138001),138001)</f>
        <v>138001</v>
      </c>
      <c r="BB95" s="36">
        <f>VLOOKUP("k10+8",$I$2:$J$11,2,FALSE)+IFERROR(VLOOKUP(Karakterlap!$V$7,$A$24:$C$33,3,FALSE),0)</f>
        <v>14</v>
      </c>
      <c r="BC95" s="36">
        <f>VLOOKUP("k10+8",$I$2:$J$11,2,FALSE)+IFERROR(VLOOKUP(Karakterlap!$V$7,$A$24:$D$33,4,FALSE),0)</f>
        <v>14</v>
      </c>
      <c r="BD95" s="36">
        <f>VLOOKUP("3k6(2x)",$I$2:$J$11,2,FALSE)+IFERROR(VLOOKUP(Karakterlap!$V$7,$A$24:$E$33,5,FALSE),0)</f>
        <v>11</v>
      </c>
      <c r="BE95" s="36">
        <f>VLOOKUP("3k6(2x)",$I$2:$J$11,2,FALSE)+IFERROR(VLOOKUP(Karakterlap!$V$7,$A$24:$F$33,6,FALSE),0)</f>
        <v>11</v>
      </c>
      <c r="BF95" s="48">
        <f>VLOOKUP("k10+10",$I$2:$J$11,2,FALSE)+IFERROR(VLOOKUP(Karakterlap!$V$7,$A$24:$G$33,7,FALSE),0)</f>
        <v>16</v>
      </c>
      <c r="BG95" s="36">
        <f>VLOOKUP("k10+8",$I$2:$J$11,2,FALSE)+IFERROR(VLOOKUP(Karakterlap!$V$7,$A$24:$H$33,8,FALSE),0)</f>
        <v>14</v>
      </c>
      <c r="BH95" s="36">
        <f>VLOOKUP("2k6+6",$I$2:$J$11,2,FALSE)+IFERROR(VLOOKUP(Karakterlap!$V$7,$A$24:$I$33,9,FALSE),0)</f>
        <v>13</v>
      </c>
      <c r="BI95" s="36">
        <f t="shared" si="4"/>
        <v>14</v>
      </c>
      <c r="BJ95" s="36">
        <f>VLOOKUP("k6+12",$I$2:$J$11,2,FALSE)+IFERROR(VLOOKUP(Karakterlap!$V$7,$A$24:$J$33,10,FALSE),0)</f>
        <v>16</v>
      </c>
      <c r="BK95" s="36">
        <f t="shared" si="5"/>
        <v>14</v>
      </c>
      <c r="BL95" s="36">
        <f>IF((SUM(Karakterlap!$F$3:$F$12)-SUM(BB95:BK95))&lt;0,0,SUM(Karakterlap!$F$3:$F$12)-SUM(BB95:BK95))</f>
        <v>0</v>
      </c>
      <c r="BM95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95&gt;18,BI95,18))&gt;0,Karakterlap!$F$10-IF(BI95&gt;18,BI95,18),0),0)+IF(Karakterlap!$F$11&gt;(18+IFERROR(VLOOKUP(Karakterlap!$V$7,$A$24:$J$33,10,FALSE),0)),(Karakterlap!$F$11-(18+IFERROR(VLOOKUP(Karakterlap!$V$7,$A$24:$J$33,10,FALSE),0))),0)+IF(Karakterlap!$F$12&gt;18,IF((Karakterlap!$F$12-IF(BK95&gt;18,BK95,18))&gt;0,Karakterlap!$F$12-IF(BK95&gt;18,BK95,18),0),0)</f>
        <v>#VALUE!</v>
      </c>
      <c r="BN95" t="s">
        <v>977</v>
      </c>
      <c r="BW95" s="5"/>
      <c r="BX95" s="97" t="s">
        <v>190</v>
      </c>
      <c r="BY95" s="97" t="s">
        <v>190</v>
      </c>
      <c r="BZ95" s="97" t="s">
        <v>187</v>
      </c>
      <c r="CA95" s="97" t="s">
        <v>187</v>
      </c>
      <c r="CB95" s="97" t="s">
        <v>193</v>
      </c>
      <c r="CC95" s="97" t="s">
        <v>190</v>
      </c>
      <c r="CD95" s="97" t="s">
        <v>189</v>
      </c>
      <c r="CE95" s="97" t="s">
        <v>190</v>
      </c>
      <c r="CF95" s="97" t="s">
        <v>192</v>
      </c>
      <c r="CG95" s="97" t="s">
        <v>190</v>
      </c>
    </row>
    <row r="96" spans="1:85" x14ac:dyDescent="0.2">
      <c r="L96" t="s">
        <v>61</v>
      </c>
      <c r="M96">
        <v>0</v>
      </c>
      <c r="N96">
        <v>221</v>
      </c>
      <c r="O96">
        <v>443</v>
      </c>
      <c r="P96">
        <v>951</v>
      </c>
      <c r="Q96">
        <v>2001</v>
      </c>
      <c r="R96">
        <v>4501</v>
      </c>
      <c r="S96">
        <v>9001</v>
      </c>
      <c r="T96">
        <v>16001</v>
      </c>
      <c r="U96">
        <v>32001</v>
      </c>
      <c r="V96">
        <v>65001</v>
      </c>
      <c r="W96">
        <v>120001</v>
      </c>
      <c r="X96">
        <v>170001</v>
      </c>
      <c r="Y96">
        <f>IFERROR(IF(VLOOKUP(L96,Karakterlap!$P$3:$Z$4,10,FALSE)&gt;13,240001+((VLOOKUP(L96,Karakterlap!$P$3:$Z$4,10,FALSE)-13)*65000),240001),240001)</f>
        <v>240001</v>
      </c>
      <c r="Z96" s="9">
        <v>10</v>
      </c>
      <c r="AA96" s="9">
        <v>20</v>
      </c>
      <c r="AB96" s="9">
        <v>75</v>
      </c>
      <c r="AC96" s="9">
        <v>0</v>
      </c>
      <c r="AD96" s="9">
        <f>IFERROR(VLOOKUP(L96,Karakterlap!$P$3:$Z$4,10,FALSE)*8,8)</f>
        <v>8</v>
      </c>
      <c r="AE96" s="9">
        <f>IFERROR(IF(Karakterlap!$P$5="Váltott kaszt",IF(Karakterlap!$P$3=Adattábla!$L96,Karakterlap!$Y$3*3,IF(Karakterlap!$P$4=Adattábla!$L96,(Karakterlap!$Y$4-Adattábla!$I$20)*3,3)),VLOOKUP(Adattábla!$L96,Karakterlap!$P$3:$Z$4,10,FALSE)*3),3)</f>
        <v>3</v>
      </c>
      <c r="AF96" s="9">
        <f>IFERROR(IF(Karakterlap!$P$5="Váltott kaszt",IF(Karakterlap!$P$3=Adattábla!$L96,Karakterlap!$Y$3*3,IF(Karakterlap!$P$4=Adattábla!$L96,(Karakterlap!$Y$4-Adattábla!$I$20)*3,3)),VLOOKUP(Adattábla!$L96,Karakterlap!$P$3:$Z$4,10,FALSE)*3),3)</f>
        <v>3</v>
      </c>
      <c r="AG96" s="9">
        <v>4</v>
      </c>
      <c r="AH96" s="9">
        <f>IF(Karakterlap!$P$5="Iker kaszt",IF(Karakterlap!$P$3=L96,IFERROR((Karakterlap!$P$6*5)+(VLOOKUP(L96,Karakterlap!$P$3:$Z$4,10,FALSE)-Karakterlap!$P$6),5),IF(Karakterlap!$P$4=L96,VLOOKUP(L96,Karakterlap!$P$3:$Z$4,10,FALSE),5)),IF(Karakterlap!$P$5="Váltott kaszt",IF(L96=Karakterlap!$P$3,(Karakterlap!$Y$3+3)*5,VLOOKUP(L96,Karakterlap!$P$3:$Z$4,10,FALSE)*5),IFERROR(VLOOKUP(L96,Karakterlap!$P$3:$Z$4,10,FALSE)*5,5)))</f>
        <v>5</v>
      </c>
      <c r="AI96" s="9">
        <f>IFERROR(IF(Karakterlap!$P$5="Váltott kaszt",IF(L96=Karakterlap!$P$3,Karakterlap!$P$6*22,VLOOKUP(L96,Karakterlap!$P$3:$Z$4,10,FALSE)*22),VLOOKUP(L96,Karakterlap!$P$3:$Z$4,10,FALSE)*22),22)</f>
        <v>22</v>
      </c>
      <c r="AJ96" s="9">
        <v>4</v>
      </c>
      <c r="AK96" s="9">
        <v>8</v>
      </c>
      <c r="AL96">
        <f>IFERROR(VLOOKUP(L96,Karakterlap!$P$3:$Z$4,10,FALSE)*($E$18+5),$E$18+5)</f>
        <v>11</v>
      </c>
      <c r="AM96">
        <v>0</v>
      </c>
      <c r="AN96" t="s">
        <v>141</v>
      </c>
      <c r="AO96" t="str">
        <f>IFERROR((IF(Karakterlap!$F$9&gt;10,Karakterlap!$F$9-10,0))+6+((VLOOKUP(L96,Karakterlap!$P$3:$Z$4,10,FALSE)-1)*5),"más kaszt")</f>
        <v>más kaszt</v>
      </c>
      <c r="AQ96" s="14">
        <v>20</v>
      </c>
      <c r="AR96" s="14">
        <v>35</v>
      </c>
      <c r="AS96" s="14">
        <v>30</v>
      </c>
      <c r="BA96">
        <f>IFERROR(IF(Karakterlap!$P$6&gt;13,240001+((Karakterlap!$P$6-13)*65000),240001),240001)</f>
        <v>240001</v>
      </c>
      <c r="BB96" s="36">
        <f>VLOOKUP("k10+8",$I$2:$J$11,2,FALSE)+IFERROR(VLOOKUP(Karakterlap!$V$7,$A$24:$C$33,3,FALSE),0)</f>
        <v>14</v>
      </c>
      <c r="BC96" s="36">
        <f>VLOOKUP("k6+12",$I$2:$J$11,2,FALSE)+IFERROR(VLOOKUP(Karakterlap!$V$7,$A$24:$D$33,4,FALSE),0)</f>
        <v>16</v>
      </c>
      <c r="BD96" s="48">
        <f>VLOOKUP("k6+14",$I$2:$J$11,2,FALSE)+IFERROR(VLOOKUP(Karakterlap!$V$7,$A$24:$E$33,5,FALSE),0)</f>
        <v>18</v>
      </c>
      <c r="BE96" s="36">
        <f>VLOOKUP("k6+12",$I$2:$J$11,2,FALSE)+IFERROR(VLOOKUP(Karakterlap!$V$7,$A$24:$F$33,6,FALSE),0)</f>
        <v>16</v>
      </c>
      <c r="BF96" s="48">
        <f>VLOOKUP("k10+10",$I$2:$J$11,2,FALSE)+IFERROR(VLOOKUP(Karakterlap!$V$7,$A$24:$G$33,7,FALSE),0)</f>
        <v>16</v>
      </c>
      <c r="BG96" s="36">
        <f>VLOOKUP("3k6(2x)",$I$2:$J$11,2,FALSE)+IFERROR(VLOOKUP(Karakterlap!$V$7,$A$24:$H$33,8,FALSE),0)</f>
        <v>11</v>
      </c>
      <c r="BH96" s="36">
        <f>VLOOKUP("3k6(2x)",$I$2:$J$11,2,FALSE)+IFERROR(VLOOKUP(Karakterlap!$V$7,$A$24:$I$33,9,FALSE),0)</f>
        <v>11</v>
      </c>
      <c r="BI96" s="36">
        <f>VLOOKUP("k6+12",$I$2:$J$11,2,FALSE)</f>
        <v>16</v>
      </c>
      <c r="BJ96" s="36">
        <f>VLOOKUP("k10+8",$I$2:$J$11,2,FALSE)+IFERROR(VLOOKUP(Karakterlap!$V$7,$A$24:$J$33,10,FALSE),0)</f>
        <v>14</v>
      </c>
      <c r="BK96" s="36">
        <f>VLOOKUP("k6+12",$I$2:$J$11,2,FALSE)</f>
        <v>16</v>
      </c>
      <c r="BL96" s="36">
        <f>IF((SUM(Karakterlap!$F$3:$F$12)-SUM(BB96:BK96))&lt;0,0,SUM(Karakterlap!$F$3:$F$12)-SUM(BB96:BK96))</f>
        <v>0</v>
      </c>
      <c r="BM96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(20+IFERROR(VLOOKUP(Karakterlap!$V$7,$A$24:$E$33,5,FALSE),0)),(Karakterlap!$F$5-(20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96&gt;18,BI96,18))&gt;0,Karakterlap!$F$10-IF(BI96&gt;18,BI96,18),0),0)+IF(Karakterlap!$F$11&gt;(18+IFERROR(VLOOKUP(Karakterlap!$V$7,$A$24:$J$33,10,FALSE),0)),(Karakterlap!$F$11-(18+IFERROR(VLOOKUP(Karakterlap!$V$7,$A$24:$J$33,10,FALSE),0))),0)+IF(Karakterlap!$F$12&gt;18,IF((Karakterlap!$F$12-IF(BK96&gt;18,BK96,18))&gt;0,Karakterlap!$F$12-IF(BK96&gt;18,BK96,18),0),0)</f>
        <v>#VALUE!</v>
      </c>
      <c r="BW96" s="5"/>
      <c r="BX96" s="97" t="s">
        <v>190</v>
      </c>
      <c r="BY96" s="97" t="s">
        <v>192</v>
      </c>
      <c r="BZ96" s="97" t="s">
        <v>194</v>
      </c>
      <c r="CA96" s="97" t="s">
        <v>192</v>
      </c>
      <c r="CB96" s="97" t="s">
        <v>193</v>
      </c>
      <c r="CC96" s="97" t="s">
        <v>187</v>
      </c>
      <c r="CD96" s="97" t="s">
        <v>187</v>
      </c>
      <c r="CE96" s="97" t="s">
        <v>192</v>
      </c>
      <c r="CF96" s="97" t="s">
        <v>190</v>
      </c>
      <c r="CG96" s="97" t="s">
        <v>192</v>
      </c>
    </row>
    <row r="97" spans="12:85" x14ac:dyDescent="0.2">
      <c r="L97" t="s">
        <v>62</v>
      </c>
      <c r="M97">
        <v>0</v>
      </c>
      <c r="N97">
        <v>201</v>
      </c>
      <c r="O97">
        <v>401</v>
      </c>
      <c r="P97">
        <v>926</v>
      </c>
      <c r="Q97">
        <v>1901</v>
      </c>
      <c r="R97">
        <v>4001</v>
      </c>
      <c r="S97">
        <v>8251</v>
      </c>
      <c r="T97">
        <v>15501</v>
      </c>
      <c r="U97">
        <v>31001</v>
      </c>
      <c r="V97">
        <v>62501</v>
      </c>
      <c r="W97">
        <v>115001</v>
      </c>
      <c r="X97">
        <v>165001</v>
      </c>
      <c r="Y97">
        <f>IFERROR(IF(VLOOKUP(L97,Karakterlap!$P$3:$Z$4,10,FALSE)&gt;13,230001+((VLOOKUP(L97,Karakterlap!$P$3:$Z$4,10,FALSE)-13)*62000),230001),230001)</f>
        <v>230001</v>
      </c>
      <c r="Z97" s="9">
        <v>10</v>
      </c>
      <c r="AA97" s="9">
        <v>20</v>
      </c>
      <c r="AB97" s="9">
        <v>75</v>
      </c>
      <c r="AC97" s="9">
        <v>0</v>
      </c>
      <c r="AD97" s="9">
        <f>IFERROR(VLOOKUP(L97,Karakterlap!$P$3:$Z$4,10,FALSE)*8,8)</f>
        <v>8</v>
      </c>
      <c r="AE97" s="9">
        <f>IFERROR(IF(Karakterlap!$P$5="Váltott kaszt",IF(Karakterlap!$P$3=Adattábla!$L97,Karakterlap!$Y$3*3,IF(Karakterlap!$P$4=Adattábla!$L97,(Karakterlap!$Y$4-Adattábla!$I$20)*3,3)),VLOOKUP(Adattábla!$L97,Karakterlap!$P$3:$Z$4,10,FALSE)*3),3)</f>
        <v>3</v>
      </c>
      <c r="AF97" s="9">
        <f>IFERROR(IF(Karakterlap!$P$5="Váltott kaszt",IF(Karakterlap!$P$3=Adattábla!$L97,Karakterlap!$Y$3*3,IF(Karakterlap!$P$4=Adattábla!$L97,(Karakterlap!$Y$4-Adattábla!$I$20)*3,3)),VLOOKUP(Adattábla!$L97,Karakterlap!$P$3:$Z$4,10,FALSE)*3),3)</f>
        <v>3</v>
      </c>
      <c r="AG97" s="9">
        <v>4</v>
      </c>
      <c r="AH97" s="9">
        <f>IF(Karakterlap!$P$5="Iker kaszt",IF(Karakterlap!$P$3=L97,IFERROR((Karakterlap!$P$6*5)+(VLOOKUP(L97,Karakterlap!$P$3:$Z$4,10,FALSE)-Karakterlap!$P$6),5),IF(Karakterlap!$P$4=L97,VLOOKUP(L97,Karakterlap!$P$3:$Z$4,10,FALSE),5)),IF(Karakterlap!$P$5="Váltott kaszt",IF(L97=Karakterlap!$P$3,(Karakterlap!$Y$3+3)*5,VLOOKUP(L97,Karakterlap!$P$3:$Z$4,10,FALSE)*5),IFERROR(VLOOKUP(L97,Karakterlap!$P$3:$Z$4,10,FALSE)*5,5)))</f>
        <v>5</v>
      </c>
      <c r="AI97" s="9">
        <f>IFERROR(IF(Karakterlap!$P$5="Váltott kaszt",IF(L97=Karakterlap!$P$3,Karakterlap!$P$6*18,VLOOKUP(L97,Karakterlap!$P$3:$Z$4,10,FALSE)*18),VLOOKUP(L97,Karakterlap!$P$3:$Z$4,10,FALSE)*18),18)</f>
        <v>18</v>
      </c>
      <c r="AJ97" s="9">
        <v>4</v>
      </c>
      <c r="AK97" s="9">
        <v>8</v>
      </c>
      <c r="AL97">
        <f>IFERROR(VLOOKUP(L97,Karakterlap!$P$3:$Z$4,10,FALSE)*($E$18+5),$E$18+5)</f>
        <v>11</v>
      </c>
      <c r="AM97">
        <v>0</v>
      </c>
      <c r="AN97" t="s">
        <v>141</v>
      </c>
      <c r="AO97" t="str">
        <f>IFERROR((IF(Karakterlap!$F$9&gt;10,Karakterlap!$F$9-10,0))+6+((VLOOKUP(L97,Karakterlap!$P$3:$Z$4,10,FALSE)-1)*5),"más kaszt")</f>
        <v>más kaszt</v>
      </c>
      <c r="AQ97" s="14">
        <v>10</v>
      </c>
      <c r="AR97" s="14">
        <v>20</v>
      </c>
      <c r="AS97" s="14">
        <v>10</v>
      </c>
      <c r="BA97">
        <f>IFERROR(IF(Karakterlap!$P$6&gt;13,230001+((Karakterlap!$P$6-13)*62000),230001),230001)</f>
        <v>230001</v>
      </c>
      <c r="BB97" s="36">
        <f>VLOOKUP("k10+8",$I$2:$J$11,2,FALSE)+IFERROR(VLOOKUP(Karakterlap!$V$7,$A$24:$C$33,3,FALSE),0)</f>
        <v>14</v>
      </c>
      <c r="BC97" s="36">
        <f>VLOOKUP("k10+8",$I$2:$J$11,2,FALSE)+IFERROR(VLOOKUP(Karakterlap!$V$7,$A$24:$D$33,4,FALSE),0)</f>
        <v>14</v>
      </c>
      <c r="BD97" s="36">
        <f>VLOOKUP("k6+12",$I$2:$J$11,2,FALSE)+IFERROR(VLOOKUP(Karakterlap!$V$7,$A$24:$F$33,6,FALSE),0)</f>
        <v>16</v>
      </c>
      <c r="BE97" s="48">
        <f>VLOOKUP("k6+14",$I$2:$J$11,2,FALSE)+IFERROR(VLOOKUP(Karakterlap!$V$7,$A$24:$E$33,5,FALSE),0)</f>
        <v>18</v>
      </c>
      <c r="BF97" s="36">
        <f>VLOOKUP("k10+8",$I$2:$J$11,2,FALSE)+IFERROR(VLOOKUP(Karakterlap!$V$7,$A$24:$G$33,7,FALSE),0)</f>
        <v>14</v>
      </c>
      <c r="BG97" s="36">
        <f>VLOOKUP("3k6(2x)",$I$2:$J$11,2,FALSE)+IFERROR(VLOOKUP(Karakterlap!$V$7,$A$24:$H$33,8,FALSE),0)</f>
        <v>11</v>
      </c>
      <c r="BH97" s="36">
        <f>VLOOKUP("2k6+6",$I$2:$J$11,2,FALSE)+IFERROR(VLOOKUP(Karakterlap!$V$7,$A$24:$I$33,9,FALSE),0)</f>
        <v>13</v>
      </c>
      <c r="BI97" s="36">
        <f>VLOOKUP("k6+12",$I$2:$J$11,2,FALSE)</f>
        <v>16</v>
      </c>
      <c r="BJ97" s="36">
        <f>VLOOKUP("k10+8",$I$2:$J$11,2,FALSE)+IFERROR(VLOOKUP(Karakterlap!$V$7,$A$24:$J$33,10,FALSE),0)</f>
        <v>14</v>
      </c>
      <c r="BK97" s="36">
        <f>VLOOKUP("k6+12",$I$2:$J$11,2,FALSE)</f>
        <v>16</v>
      </c>
      <c r="BL97" s="36">
        <f>IF((SUM(Karakterlap!$F$3:$F$12)-SUM(BB97:BK97))&lt;0,0,SUM(Karakterlap!$F$3:$F$12)-SUM(BB97:BK97))</f>
        <v>0</v>
      </c>
      <c r="BM97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(20+IFERROR(VLOOKUP(Karakterlap!$V$7,$A$24:$F$33,6,FALSE),0)),(Karakterlap!$F$6-(20+IFERROR(VLOOKUP(Karakterlap!$V$7,$A$24:$F$33,6,FALSE),0))),0)+IF(Karakterlap!$F$7&gt;(18+IFERROR(VLOOKUP(Karakterlap!$V$7,$A$24:$G$33,7,FALSE),0)),(Karakterlap!$F$7-(18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97&gt;18,BI97,18))&gt;0,Karakterlap!$F$10-IF(BI97&gt;18,BI97,18),0),0)+IF(Karakterlap!$F$11&gt;(18+IFERROR(VLOOKUP(Karakterlap!$V$7,$A$24:$J$33,10,FALSE),0)),(Karakterlap!$F$11-(18+IFERROR(VLOOKUP(Karakterlap!$V$7,$A$24:$J$33,10,FALSE),0))),0)+IF(Karakterlap!$F$12&gt;18,IF((Karakterlap!$F$12-IF(BK97&gt;18,BK97,18))&gt;0,Karakterlap!$F$12-IF(BK97&gt;18,BK97,18),0),0)</f>
        <v>#VALUE!</v>
      </c>
      <c r="BP97" t="s">
        <v>977</v>
      </c>
      <c r="BW97" s="5"/>
      <c r="BX97" s="97" t="s">
        <v>190</v>
      </c>
      <c r="BY97" s="97" t="s">
        <v>190</v>
      </c>
      <c r="BZ97" s="97" t="s">
        <v>192</v>
      </c>
      <c r="CA97" s="97" t="s">
        <v>194</v>
      </c>
      <c r="CB97" s="97" t="s">
        <v>190</v>
      </c>
      <c r="CC97" s="97" t="s">
        <v>187</v>
      </c>
      <c r="CD97" s="97" t="s">
        <v>189</v>
      </c>
      <c r="CE97" s="97" t="s">
        <v>192</v>
      </c>
      <c r="CF97" s="97" t="s">
        <v>190</v>
      </c>
      <c r="CG97" s="97" t="s">
        <v>192</v>
      </c>
    </row>
    <row r="98" spans="12:85" x14ac:dyDescent="0.2">
      <c r="L98" t="s">
        <v>63</v>
      </c>
      <c r="M98">
        <v>0</v>
      </c>
      <c r="N98">
        <v>151</v>
      </c>
      <c r="O98">
        <v>301</v>
      </c>
      <c r="P98">
        <v>601</v>
      </c>
      <c r="Q98">
        <v>1001</v>
      </c>
      <c r="R98">
        <v>2001</v>
      </c>
      <c r="S98">
        <v>4001</v>
      </c>
      <c r="T98">
        <v>9001</v>
      </c>
      <c r="U98">
        <v>17001</v>
      </c>
      <c r="V98">
        <v>38501</v>
      </c>
      <c r="W98">
        <v>58501</v>
      </c>
      <c r="X98">
        <v>78501</v>
      </c>
      <c r="Y98">
        <f>IFERROR(IF(VLOOKUP(L98,Karakterlap!$P$3:$Z$4,10,FALSE)&gt;13,108501+((VLOOKUP(L98,Karakterlap!$P$3:$Z$4,10,FALSE)-13)*31500),108501),108501)</f>
        <v>108501</v>
      </c>
      <c r="Z98" s="9">
        <v>7</v>
      </c>
      <c r="AA98" s="9">
        <v>17</v>
      </c>
      <c r="AB98" s="9">
        <v>72</v>
      </c>
      <c r="AC98" s="9">
        <v>0</v>
      </c>
      <c r="AD98" s="9">
        <f>IFERROR(VLOOKUP(L98,Karakterlap!$P$3:$Z$4,10,FALSE)*4,4)</f>
        <v>4</v>
      </c>
      <c r="AE98" s="9">
        <f>IFERROR(IF(Karakterlap!$P$5="Váltott kaszt",IF(Karakterlap!$P$3=Adattábla!$L98,Karakterlap!$Y$3*5,IF(Karakterlap!$P$4=Adattábla!$L98,(Karakterlap!$Y$4-Adattábla!$I$20)*1,1)),VLOOKUP(Adattábla!$L98,Karakterlap!$P$3:$Z$4,10,FALSE)*1),1)</f>
        <v>1</v>
      </c>
      <c r="AF98" s="9">
        <f>IFERROR(IF(Karakterlap!$P$5="Váltott kaszt",IF(Karakterlap!$P$3=Adattábla!$L98,Karakterlap!$Y$3*5,IF(Karakterlap!$P$4=Adattábla!$L98,(Karakterlap!$Y$4-Adattábla!$I$20)*1,1)),VLOOKUP(Adattábla!$L98,Karakterlap!$P$3:$Z$4,10,FALSE)*1),1)</f>
        <v>1</v>
      </c>
      <c r="AG98" s="9">
        <v>8</v>
      </c>
      <c r="AH98" s="9">
        <f>IF(Karakterlap!$P$5="Iker kaszt",IF(Karakterlap!$P$3=L98,IFERROR((Karakterlap!$P$6*12)+(VLOOKUP(L98,Karakterlap!$P$3:$Z$4,10,FALSE)-Karakterlap!$P$6),12),IF(Karakterlap!$P$4=L98,VLOOKUP(L98,Karakterlap!$P$3:$Z$4,10,FALSE),12)),IF(Karakterlap!$P$5="Váltott kaszt",IF(L98=Karakterlap!$P$3,(Karakterlap!$Y$3+3)*12,VLOOKUP(L98,Karakterlap!$P$3:$Z$4,10,FALSE)*12),IFERROR(VLOOKUP(L98,Karakterlap!$P$3:$Z$4,10,FALSE)*12,12)))</f>
        <v>12</v>
      </c>
      <c r="AI98" s="9">
        <v>0</v>
      </c>
      <c r="AJ98" s="9">
        <v>3</v>
      </c>
      <c r="AK98" s="9">
        <v>1</v>
      </c>
      <c r="AL98">
        <f>IFERROR(VLOOKUP(L98,Karakterlap!$P$3:$Z$4,10,FALSE)*($E$18),$E$18)</f>
        <v>6</v>
      </c>
      <c r="AM98">
        <f>IFERROR(VLOOKUP(L98,Karakterlap!$P$3:$Z$4,10,FALSE)*8,0)</f>
        <v>0</v>
      </c>
      <c r="AN98" t="s">
        <v>92</v>
      </c>
      <c r="AO98" t="str">
        <f>IFERROR((IF(Karakterlap!$F$9&gt;10,Karakterlap!$F$9-10,0))+5+((VLOOKUP(L98,Karakterlap!$P$3:$Z$4,10,FALSE)-1)*4),"más kaszt")</f>
        <v>más kaszt</v>
      </c>
      <c r="BA98">
        <f>IFERROR(IF(Karakterlap!$P$6&gt;13,108501+((Karakterlap!$P$6-13)*31500),108501),108501)</f>
        <v>108501</v>
      </c>
      <c r="BB98" s="36">
        <f>VLOOKUP("3k6",$I$2:$J$11,2,FALSE)+IFERROR(VLOOKUP(Karakterlap!$V$7,$A$24:$C$33,3,FALSE),0)</f>
        <v>10</v>
      </c>
      <c r="BC98" s="36">
        <f>VLOOKUP("3k6",$I$2:$J$11,2,FALSE)+IFERROR(VLOOKUP(Karakterlap!$V$7,$A$24:$D$33,4,FALSE),0)</f>
        <v>10</v>
      </c>
      <c r="BD98" s="36">
        <f>VLOOKUP("2k6+6",$I$2:$J$11,2,FALSE)+IFERROR(VLOOKUP(Karakterlap!$V$7,$A$24:$E$33,5,FALSE),0)</f>
        <v>13</v>
      </c>
      <c r="BE98" s="36">
        <f>VLOOKUP("k10+8",$I$2:$J$11,2,FALSE)+IFERROR(VLOOKUP(Karakterlap!$V$7,$A$24:$F$33,6,FALSE),0)</f>
        <v>14</v>
      </c>
      <c r="BF98" s="36">
        <f>VLOOKUP("2k6+6",$I$2:$J$11,2,FALSE)+IFERROR(VLOOKUP(Karakterlap!$V$7,$A$24:$G$33,7,FALSE),0)</f>
        <v>13</v>
      </c>
      <c r="BG98" s="48">
        <f>VLOOKUP("k6+14",$I$2:$J$11,2,FALSE)+IFERROR(VLOOKUP(Karakterlap!$V$7,$A$24:$H$33,8,FALSE),0)</f>
        <v>18</v>
      </c>
      <c r="BH98" s="36">
        <f>VLOOKUP("2k6+6",$I$2:$J$11,2,FALSE)+IFERROR(VLOOKUP(Karakterlap!$V$7,$A$24:$I$33,9,FALSE),0)</f>
        <v>13</v>
      </c>
      <c r="BI98" s="36">
        <f t="shared" ref="BI98:BI103" si="6">VLOOKUP("2k6+6",$I$2:$J$11,2,FALSE)</f>
        <v>13</v>
      </c>
      <c r="BJ98" s="36">
        <f>VLOOKUP("k6+12",$I$2:$J$11,2,FALSE)+IFERROR(VLOOKUP(Karakterlap!$V$7,$A$24:$J$33,10,FALSE),0)</f>
        <v>16</v>
      </c>
      <c r="BK98" s="36">
        <f t="shared" ref="BK98:BK103" si="7">VLOOKUP("2k6+6",$I$2:$J$11,2,FALSE)</f>
        <v>13</v>
      </c>
      <c r="BL98" s="36">
        <f>IF((SUM(Karakterlap!$F$3:$F$12)-SUM(BB98:BK98))&lt;0,0,SUM(Karakterlap!$F$3:$F$12)-SUM(BB98:BK98))</f>
        <v>0</v>
      </c>
      <c r="BM98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(20+IFERROR(VLOOKUP(Karakterlap!$V$7,$A$24:$H$33,8,FALSE),0)),(Karakterlap!$F$8-(20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98&gt;18,BI98,18))&gt;0,Karakterlap!$F$10-IF(BI98&gt;18,BI98,18),0),0)+IF(Karakterlap!$F$11&gt;(18+IFERROR(VLOOKUP(Karakterlap!$V$7,$A$24:$J$33,10,FALSE),0)),(Karakterlap!$F$11-(18+IFERROR(VLOOKUP(Karakterlap!$V$7,$A$24:$J$33,10,FALSE),0))),0)+IF(Karakterlap!$F$12&gt;18,IF((Karakterlap!$F$12-IF(BK98&gt;18,BK98,18))&gt;0,Karakterlap!$F$12-IF(BK98&gt;18,BK98,18),0),0)</f>
        <v>#VALUE!</v>
      </c>
      <c r="BV98" t="s">
        <v>977</v>
      </c>
      <c r="BW98" s="5"/>
      <c r="BX98" s="97" t="s">
        <v>186</v>
      </c>
      <c r="BY98" s="97" t="s">
        <v>186</v>
      </c>
      <c r="BZ98" s="97" t="s">
        <v>189</v>
      </c>
      <c r="CA98" s="97" t="s">
        <v>190</v>
      </c>
      <c r="CB98" s="97" t="s">
        <v>189</v>
      </c>
      <c r="CC98" s="97" t="s">
        <v>194</v>
      </c>
      <c r="CD98" s="97" t="s">
        <v>189</v>
      </c>
      <c r="CE98" s="97" t="s">
        <v>189</v>
      </c>
      <c r="CF98" s="97" t="s">
        <v>192</v>
      </c>
      <c r="CG98" s="97" t="s">
        <v>189</v>
      </c>
    </row>
    <row r="99" spans="12:85" x14ac:dyDescent="0.2">
      <c r="L99" t="s">
        <v>64</v>
      </c>
      <c r="M99">
        <v>0</v>
      </c>
      <c r="N99">
        <v>201</v>
      </c>
      <c r="O99">
        <v>401</v>
      </c>
      <c r="P99">
        <v>801</v>
      </c>
      <c r="Q99">
        <v>1601</v>
      </c>
      <c r="R99">
        <v>4001</v>
      </c>
      <c r="S99">
        <v>8001</v>
      </c>
      <c r="T99">
        <v>16001</v>
      </c>
      <c r="U99">
        <v>32001</v>
      </c>
      <c r="V99">
        <v>59001</v>
      </c>
      <c r="W99">
        <v>90501</v>
      </c>
      <c r="X99">
        <v>140001</v>
      </c>
      <c r="Y99">
        <f>IFERROR(IF(VLOOKUP(L99,Karakterlap!$P$3:$Z$4,10,FALSE)&gt;13,190001+((VLOOKUP(L99,Karakterlap!$P$3:$Z$4,10,FALSE)-13)*55000),190001),190001)</f>
        <v>190001</v>
      </c>
      <c r="Z99" s="9">
        <v>7</v>
      </c>
      <c r="AA99" s="9">
        <v>17</v>
      </c>
      <c r="AB99" s="9">
        <v>72</v>
      </c>
      <c r="AC99" s="9">
        <v>5</v>
      </c>
      <c r="AD99" s="9">
        <f>IFERROR(VLOOKUP(L99,Karakterlap!$P$3:$Z$4,10,FALSE)*7,7)</f>
        <v>7</v>
      </c>
      <c r="AE99" s="9">
        <f>IFERROR(IF(Karakterlap!$P$5="Váltott kaszt",IF(Karakterlap!$P$3=Adattábla!$L99,Karakterlap!$Y$3*5,IF(Karakterlap!$P$4=Adattábla!$L99,(Karakterlap!$Y$4-Adattábla!$I$20)*1,1)),VLOOKUP(Adattábla!$L99,Karakterlap!$P$3:$Z$4,10,FALSE)*1),1)</f>
        <v>1</v>
      </c>
      <c r="AF99" s="9">
        <f>IFERROR(IF(Karakterlap!$P$5="Váltott kaszt",IF(Karakterlap!$P$3=Adattábla!$L99,Karakterlap!$Y$3*5,IF(Karakterlap!$P$4=Adattábla!$L99,(Karakterlap!$Y$4-Adattábla!$I$20)*1,1)),VLOOKUP(Adattábla!$L99,Karakterlap!$P$3:$Z$4,10,FALSE)*1),1)</f>
        <v>1</v>
      </c>
      <c r="AG99" s="9">
        <v>7</v>
      </c>
      <c r="AH99" s="9">
        <f>IF(Karakterlap!$P$5="Iker kaszt",IF(Karakterlap!$P$3=L99,IFERROR((Karakterlap!$P$6*8)+(VLOOKUP(L99,Karakterlap!$P$3:$Z$4,10,FALSE)-Karakterlap!$P$6),8),IF(Karakterlap!$P$4=L99,VLOOKUP(L99,Karakterlap!$P$3:$Z$4,10,FALSE),8)),IF(Karakterlap!$P$5="Váltott kaszt",IF(L99=Karakterlap!$P$3,(Karakterlap!$Y$3+3)*8,VLOOKUP(L99,Karakterlap!$P$3:$Z$4,10,FALSE)*8),IFERROR(VLOOKUP(L99,Karakterlap!$P$3:$Z$4,10,FALSE)*8,8)))</f>
        <v>8</v>
      </c>
      <c r="AI99" s="9">
        <f>IFERROR(IF(Karakterlap!$P$5="Váltott kaszt",IF(L99=Karakterlap!$P$3,Karakterlap!$P$6*15,VLOOKUP(L99,Karakterlap!$P$3:$Z$4,10,FALSE)*15),VLOOKUP(L99,Karakterlap!$P$3:$Z$4,10,FALSE)*15),15)</f>
        <v>15</v>
      </c>
      <c r="AJ99" s="9">
        <v>3</v>
      </c>
      <c r="AK99" s="9">
        <v>4</v>
      </c>
      <c r="AL99">
        <f>IFERROR(VLOOKUP(L99,Karakterlap!$P$3:$Z$4,10,FALSE)*($E$18+1),$E$18+1)</f>
        <v>7</v>
      </c>
      <c r="AM99">
        <f>IFERROR(VLOOKUP(L99,Karakterlap!$P$3:$Z$4,10,FALSE)*7,0)</f>
        <v>0</v>
      </c>
      <c r="AN99" t="s">
        <v>92</v>
      </c>
      <c r="AO99" t="str">
        <f>IFERROR((IF(Karakterlap!$F$9&gt;10,Karakterlap!$F$9-10,0))+5+((VLOOKUP(L99,Karakterlap!$P$3:$Z$4,10,FALSE)-1)*4),"más kaszt")</f>
        <v>más kaszt</v>
      </c>
      <c r="AT99" s="14">
        <v>15</v>
      </c>
      <c r="AU99" s="14">
        <v>15</v>
      </c>
      <c r="BA99">
        <f>IFERROR(IF(Karakterlap!$P$6&gt;13,190001+((Karakterlap!$P$6-13)*55000),190001),190001)</f>
        <v>190001</v>
      </c>
      <c r="BB99" s="36">
        <f>VLOOKUP("3k6(2x)",$I$2:$J$11,2,FALSE)+IFERROR(VLOOKUP(Karakterlap!$V$7,$A$24:$C$33,3,FALSE),0)</f>
        <v>11</v>
      </c>
      <c r="BC99" s="36">
        <f>VLOOKUP("3k6(2x)",$I$2:$J$11,2,FALSE)+IFERROR(VLOOKUP(Karakterlap!$V$7,$A$24:$D$33,4,FALSE),0)</f>
        <v>11</v>
      </c>
      <c r="BD99" s="36">
        <f>VLOOKUP("k10+8",$I$2:$J$11,2,FALSE)+IFERROR(VLOOKUP(Karakterlap!$V$7,$A$24:$E$33,5,FALSE),0)</f>
        <v>14</v>
      </c>
      <c r="BE99" s="36">
        <f>VLOOKUP("k6+12",$I$2:$J$11,2,FALSE)+IFERROR(VLOOKUP(Karakterlap!$V$7,$A$24:$F$33,6,FALSE),0)</f>
        <v>16</v>
      </c>
      <c r="BF99" s="36">
        <f>VLOOKUP("2k6+6",$I$2:$J$11,2,FALSE)+IFERROR(VLOOKUP(Karakterlap!$V$7,$A$24:$G$33,7,FALSE),0)</f>
        <v>13</v>
      </c>
      <c r="BG99" s="36">
        <f>VLOOKUP("3k6",$I$2:$J$11,2,FALSE)+IFERROR(VLOOKUP(Karakterlap!$V$7,$A$24:$H$33,8,FALSE),0)</f>
        <v>10</v>
      </c>
      <c r="BH99" s="36">
        <f>VLOOKUP("2k6+6",$I$2:$J$11,2,FALSE)+IFERROR(VLOOKUP(Karakterlap!$V$7,$A$24:$I$33,9,FALSE),0)</f>
        <v>13</v>
      </c>
      <c r="BI99" s="36">
        <f t="shared" si="6"/>
        <v>13</v>
      </c>
      <c r="BJ99" s="36">
        <f>VLOOKUP("k6+12",$I$2:$J$11,2,FALSE)+IFERROR(VLOOKUP(Karakterlap!$V$7,$A$24:$J$33,10,FALSE),0)</f>
        <v>16</v>
      </c>
      <c r="BK99" s="36">
        <f t="shared" si="7"/>
        <v>13</v>
      </c>
      <c r="BL99" s="36">
        <f>IF((SUM(Karakterlap!$F$3:$F$12)-SUM(BB99:BK99))&lt;0,0,SUM(Karakterlap!$F$3:$F$12)-SUM(BB99:BK99))</f>
        <v>0</v>
      </c>
      <c r="BM99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99&gt;18,BI99,18))&gt;0,Karakterlap!$F$10-IF(BI99&gt;18,BI99,18),0),0)+IF(Karakterlap!$F$11&gt;(18+IFERROR(VLOOKUP(Karakterlap!$V$7,$A$24:$J$33,10,FALSE),0)),(Karakterlap!$F$11-(18+IFERROR(VLOOKUP(Karakterlap!$V$7,$A$24:$J$33,10,FALSE),0))),0)+IF(Karakterlap!$F$12&gt;18,IF((Karakterlap!$F$12-IF(BK99&gt;18,BK99,18))&gt;0,Karakterlap!$F$12-IF(BK99&gt;18,BK99,18),0),0)</f>
        <v>#VALUE!</v>
      </c>
      <c r="BQ99" t="s">
        <v>977</v>
      </c>
      <c r="BW99" s="5"/>
      <c r="BX99" s="97" t="s">
        <v>187</v>
      </c>
      <c r="BY99" s="97" t="s">
        <v>187</v>
      </c>
      <c r="BZ99" s="97" t="s">
        <v>190</v>
      </c>
      <c r="CA99" s="97" t="s">
        <v>192</v>
      </c>
      <c r="CB99" s="97" t="s">
        <v>189</v>
      </c>
      <c r="CC99" s="97" t="s">
        <v>186</v>
      </c>
      <c r="CD99" s="97" t="s">
        <v>189</v>
      </c>
      <c r="CE99" s="97" t="s">
        <v>189</v>
      </c>
      <c r="CF99" s="97" t="s">
        <v>192</v>
      </c>
      <c r="CG99" s="97" t="s">
        <v>189</v>
      </c>
    </row>
    <row r="100" spans="12:85" x14ac:dyDescent="0.2">
      <c r="L100" t="s">
        <v>65</v>
      </c>
      <c r="M100">
        <v>0</v>
      </c>
      <c r="N100">
        <v>171</v>
      </c>
      <c r="O100">
        <v>351</v>
      </c>
      <c r="P100">
        <v>701</v>
      </c>
      <c r="Q100">
        <v>1501</v>
      </c>
      <c r="R100">
        <v>3001</v>
      </c>
      <c r="S100">
        <v>7001</v>
      </c>
      <c r="T100">
        <v>12001</v>
      </c>
      <c r="U100">
        <v>22001</v>
      </c>
      <c r="V100">
        <v>52501</v>
      </c>
      <c r="W100">
        <v>85501</v>
      </c>
      <c r="X100">
        <v>135001</v>
      </c>
      <c r="Y100">
        <f>IFERROR(IF(VLOOKUP(L100,Karakterlap!$P$3:$Z$4,10,FALSE)&gt;13,175501+((VLOOKUP(L100,Karakterlap!$P$3:$Z$4,10,FALSE)-13)*58500),175501),175501)</f>
        <v>175501</v>
      </c>
      <c r="Z100" s="9">
        <v>6</v>
      </c>
      <c r="AA100" s="9">
        <v>17</v>
      </c>
      <c r="AB100" s="9">
        <v>72</v>
      </c>
      <c r="AC100" s="9">
        <v>0</v>
      </c>
      <c r="AD100" s="9">
        <f>IFERROR(VLOOKUP(L100,Karakterlap!$P$3:$Z$4,10,FALSE)*8,8)</f>
        <v>8</v>
      </c>
      <c r="AE100" s="9">
        <f>IFERROR(IF(Karakterlap!$P$5="Váltott kaszt",IF(Karakterlap!$P$3=Adattábla!$L100,Karakterlap!$Y$3*3,IF(Karakterlap!$P$4=Adattábla!$L100,(Karakterlap!$Y$4-Adattábla!$I$20)*3,3)),VLOOKUP(Adattábla!$L100,Karakterlap!$P$3:$Z$4,10,FALSE)*3),3)</f>
        <v>3</v>
      </c>
      <c r="AF100" s="9">
        <f>IFERROR(IF(Karakterlap!$P$5="Váltott kaszt",IF(Karakterlap!$P$3=Adattábla!$L100,Karakterlap!$Y$3*3,IF(Karakterlap!$P$4=Adattábla!$L100,(Karakterlap!$Y$4-Adattábla!$I$20)*3,3)),VLOOKUP(Adattábla!$L100,Karakterlap!$P$3:$Z$4,10,FALSE)*3),3)</f>
        <v>3</v>
      </c>
      <c r="AG100" s="9">
        <v>3</v>
      </c>
      <c r="AH100" s="9">
        <f>IF(Karakterlap!$P$5="Iker kaszt",IF(Karakterlap!$P$3=L100,IFERROR((Karakterlap!$P$6*5)+(VLOOKUP(L100,Karakterlap!$P$3:$Z$4,10,FALSE)-Karakterlap!$P$6),5),IF(Karakterlap!$P$4=L100,VLOOKUP(L100,Karakterlap!$P$3:$Z$4,10,FALSE),5)),IF(Karakterlap!$P$5="Váltott kaszt",IF(L100=Karakterlap!$P$3,(Karakterlap!$Y$3+3)*5,VLOOKUP(L100,Karakterlap!$P$3:$Z$4,10,FALSE)*5),IFERROR(VLOOKUP(L100,Karakterlap!$P$3:$Z$4,10,FALSE)*5,5)))</f>
        <v>5</v>
      </c>
      <c r="AI100" s="9">
        <v>0</v>
      </c>
      <c r="AJ100" s="9">
        <v>5</v>
      </c>
      <c r="AK100" s="9">
        <v>4</v>
      </c>
      <c r="AL100">
        <f>IFERROR(VLOOKUP(L100,Karakterlap!$P$3:$Z$4,10,FALSE)*($E$18+1),$E$18+1)</f>
        <v>7</v>
      </c>
      <c r="AM100">
        <f>IFERROR(VLOOKUP(L100,Karakterlap!$P$3:$Z$4,10,FALSE)*6,0)</f>
        <v>0</v>
      </c>
      <c r="AN100" t="s">
        <v>92</v>
      </c>
      <c r="AO100" t="str">
        <f>IFERROR((IF(Karakterlap!$F$9&gt;10,Karakterlap!$F$9-10,0))+5+((VLOOKUP(L100,Karakterlap!$P$3:$Z$4,10,FALSE)-1)*4),"más kaszt")</f>
        <v>más kaszt</v>
      </c>
      <c r="BA100">
        <f>IFERROR(IF(Karakterlap!$P$6&gt;13,175501+((Karakterlap!$P$6-13)*58500),175501),175501)</f>
        <v>175501</v>
      </c>
      <c r="BB100" s="36">
        <f>VLOOKUP("2k6+6",$I$2:$J$11,2,FALSE)+IFERROR(VLOOKUP(Karakterlap!$V$7,$A$24:$C$33,3,FALSE),0)</f>
        <v>13</v>
      </c>
      <c r="BC100" s="36">
        <f>VLOOKUP("2k6+6",$I$2:$J$11,2,FALSE)+IFERROR(VLOOKUP(Karakterlap!$V$7,$A$24:$D$33,4,FALSE),0)</f>
        <v>13</v>
      </c>
      <c r="BD100" s="36">
        <f>VLOOKUP("3k6(2x)",$I$2:$J$11,2,FALSE)+IFERROR(VLOOKUP(Karakterlap!$V$7,$A$24:$E$33,5,FALSE),0)</f>
        <v>11</v>
      </c>
      <c r="BE100" s="36">
        <f>VLOOKUP("3k6(2x)",$I$2:$J$11,2,FALSE)+IFERROR(VLOOKUP(Karakterlap!$V$7,$A$24:$F$33,6,FALSE),0)</f>
        <v>11</v>
      </c>
      <c r="BF100" s="36">
        <f>VLOOKUP("2k6+6",$I$2:$J$11,2,FALSE)+IFERROR(VLOOKUP(Karakterlap!$V$7,$A$24:$G$33,7,FALSE),0)</f>
        <v>13</v>
      </c>
      <c r="BG100" s="36">
        <f>VLOOKUP("3k6",$I$2:$J$11,2,FALSE)+IFERROR(VLOOKUP(Karakterlap!$V$7,$A$24:$H$33,8,FALSE),0)</f>
        <v>10</v>
      </c>
      <c r="BH100" s="36">
        <f>VLOOKUP("2k6+6",$I$2:$J$11,2,FALSE)+IFERROR(VLOOKUP(Karakterlap!$V$7,$A$24:$I$33,9,FALSE),0)</f>
        <v>13</v>
      </c>
      <c r="BI100" s="36">
        <f t="shared" si="6"/>
        <v>13</v>
      </c>
      <c r="BJ100" s="36">
        <f>VLOOKUP("2k6+6",$I$2:$J$11,2,FALSE)+IFERROR(VLOOKUP(Karakterlap!$V$7,$A$24:$J$33,10,FALSE),0)</f>
        <v>13</v>
      </c>
      <c r="BK100" s="36">
        <f t="shared" si="7"/>
        <v>13</v>
      </c>
      <c r="BL100" s="36">
        <f>IF((SUM(Karakterlap!$F$3:$F$12)-SUM(BB100:BK100))&lt;0,0,SUM(Karakterlap!$F$3:$F$12)-SUM(BB100:BK100))</f>
        <v>0</v>
      </c>
      <c r="BM100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100&gt;18,BI100,18))&gt;0,Karakterlap!$F$10-IF(BI100&gt;18,BI100,18),0),0)+IF(Karakterlap!$F$11&gt;(18+IFERROR(VLOOKUP(Karakterlap!$V$7,$A$24:$J$33,10,FALSE),0)),(Karakterlap!$F$11-(18+IFERROR(VLOOKUP(Karakterlap!$V$7,$A$24:$J$33,10,FALSE),0))),0)+IF(Karakterlap!$F$12&gt;18,IF((Karakterlap!$F$12-IF(BK100&gt;18,BK100,18))&gt;0,Karakterlap!$F$12-IF(BK100&gt;18,BK100,18),0),0)</f>
        <v>#VALUE!</v>
      </c>
      <c r="BW100" s="5"/>
      <c r="BX100" s="97" t="s">
        <v>189</v>
      </c>
      <c r="BY100" s="97" t="s">
        <v>189</v>
      </c>
      <c r="BZ100" s="97" t="s">
        <v>187</v>
      </c>
      <c r="CA100" s="97" t="s">
        <v>187</v>
      </c>
      <c r="CB100" s="97" t="s">
        <v>189</v>
      </c>
      <c r="CC100" s="97" t="s">
        <v>186</v>
      </c>
      <c r="CD100" s="97" t="s">
        <v>189</v>
      </c>
      <c r="CE100" s="97" t="s">
        <v>189</v>
      </c>
      <c r="CF100" s="97" t="s">
        <v>189</v>
      </c>
      <c r="CG100" s="97" t="s">
        <v>189</v>
      </c>
    </row>
    <row r="101" spans="12:85" x14ac:dyDescent="0.2">
      <c r="L101" t="s">
        <v>949</v>
      </c>
      <c r="M101">
        <v>0</v>
      </c>
      <c r="N101">
        <v>171</v>
      </c>
      <c r="O101">
        <v>351</v>
      </c>
      <c r="P101">
        <v>701</v>
      </c>
      <c r="Q101">
        <v>1501</v>
      </c>
      <c r="R101">
        <v>3001</v>
      </c>
      <c r="S101">
        <v>7001</v>
      </c>
      <c r="T101">
        <v>12001</v>
      </c>
      <c r="U101">
        <v>22001</v>
      </c>
      <c r="V101">
        <v>52501</v>
      </c>
      <c r="W101">
        <v>85501</v>
      </c>
      <c r="X101">
        <v>135001</v>
      </c>
      <c r="Y101">
        <f>IFERROR(IF(VLOOKUP(L101,Karakterlap!$P$3:$Z$4,10,FALSE)&gt;13,175501+((VLOOKUP(L101,Karakterlap!$P$3:$Z$4,10,FALSE)-13)*58500),175501),175501)</f>
        <v>175501</v>
      </c>
      <c r="Z101" s="9">
        <v>6</v>
      </c>
      <c r="AA101" s="9">
        <v>17</v>
      </c>
      <c r="AB101" s="9">
        <v>72</v>
      </c>
      <c r="AC101" s="9">
        <v>0</v>
      </c>
      <c r="AD101" s="9">
        <f>IFERROR(IF(VLOOKUP(L101,Karakterlap!$P$3:$Z$4,10,FALSE)&gt;4,32+((VLOOKUP(L101,Karakterlap!$P$3:$Z$4,10,FALSE)-4)*9),VLOOKUP(L101,Karakterlap!$P$3:$Z$4,10,FALSE)*8),9)</f>
        <v>9</v>
      </c>
      <c r="AE101" s="9">
        <f>IFERROR(IF(Karakterlap!$P$5="Váltott kaszt",IF(Karakterlap!$P$3=Adattábla!$L101,Karakterlap!$Y$3*3,IF(Karakterlap!$P$4=Adattábla!$L101,(Karakterlap!$Y$4-Adattábla!$I$20)*3,3)),VLOOKUP(Adattábla!$L101,Karakterlap!$P$3:$Z$4,10,FALSE)*3),3)</f>
        <v>3</v>
      </c>
      <c r="AF101" s="9">
        <f>IFERROR(IF(Karakterlap!$P$5="Váltott kaszt",IF(Karakterlap!$P$3=Adattábla!$L101,Karakterlap!$Y$3*3,IF(Karakterlap!$P$4=Adattábla!$L101,(Karakterlap!$Y$4-Adattábla!$I$20)*3,3)),VLOOKUP(Adattábla!$L101,Karakterlap!$P$3:$Z$4,10,FALSE)*3),3)</f>
        <v>3</v>
      </c>
      <c r="AG101" s="9">
        <v>3</v>
      </c>
      <c r="AH101" s="9">
        <f>IF(Karakterlap!$P$5="Iker kaszt",IF(Karakterlap!$P$3=L101,IFERROR((Karakterlap!$P$6*5)+(VLOOKUP(L101,Karakterlap!$P$3:$Z$4,10,FALSE)-Karakterlap!$P$6),5),IF(Karakterlap!$P$4=L101,VLOOKUP(L101,Karakterlap!$P$3:$Z$4,10,FALSE),5)),IF(Karakterlap!$P$5="Váltott kaszt",IF(L101=Karakterlap!$P$3,(Karakterlap!$Y$3+3)*5,VLOOKUP(L101,Karakterlap!$P$3:$Z$4,10,FALSE)*5),IFERROR(VLOOKUP(L101,Karakterlap!$P$3:$Z$4,10,FALSE)*5,5)))</f>
        <v>5</v>
      </c>
      <c r="AI101" s="9">
        <v>0</v>
      </c>
      <c r="AJ101" s="9">
        <v>5</v>
      </c>
      <c r="AK101" s="9">
        <v>4</v>
      </c>
      <c r="AL101">
        <f>IFERROR(VLOOKUP(L101,Karakterlap!$P$3:$Z$4,10,FALSE)*($E$18+1),$E$18+1)</f>
        <v>7</v>
      </c>
      <c r="AM101">
        <f>IFERROR(VLOOKUP(L101,Karakterlap!$P$3:$Z$4,10,FALSE)*6,0)</f>
        <v>0</v>
      </c>
      <c r="AN101" t="s">
        <v>92</v>
      </c>
      <c r="AO101" t="str">
        <f>IFERROR((IF(Karakterlap!$F$9&gt;10,Karakterlap!$F$9-10,0))+5+((VLOOKUP(L101,Karakterlap!$P$3:$Z$4,10,FALSE)-1)*4),"más kaszt")</f>
        <v>más kaszt</v>
      </c>
      <c r="BA101">
        <f>IFERROR(IF(Karakterlap!$P$6&gt;13,175501+((Karakterlap!$P$6-13)*58500),175501),175501)</f>
        <v>175501</v>
      </c>
      <c r="BB101" s="36">
        <f>VLOOKUP("2k6+6",$I$2:$J$11,2,FALSE)+IFERROR(VLOOKUP(Karakterlap!$V$7,$A$24:$C$33,3,FALSE),0)</f>
        <v>13</v>
      </c>
      <c r="BC101" s="36">
        <f>VLOOKUP("2k6+6",$I$2:$J$11,2,FALSE)+IFERROR(VLOOKUP(Karakterlap!$V$7,$A$24:$D$33,4,FALSE),0)</f>
        <v>13</v>
      </c>
      <c r="BD101" s="36">
        <f>VLOOKUP("3k6(2x)",$I$2:$J$11,2,FALSE)+IFERROR(VLOOKUP(Karakterlap!$V$7,$A$24:$E$33,5,FALSE),0)</f>
        <v>11</v>
      </c>
      <c r="BE101" s="36">
        <f>VLOOKUP("3k6(2x)",$I$2:$J$11,2,FALSE)+IFERROR(VLOOKUP(Karakterlap!$V$7,$A$24:$F$33,6,FALSE),0)</f>
        <v>11</v>
      </c>
      <c r="BF101" s="36">
        <f>VLOOKUP("2k6+6",$I$2:$J$11,2,FALSE)+IFERROR(VLOOKUP(Karakterlap!$V$7,$A$24:$G$33,7,FALSE),0)</f>
        <v>13</v>
      </c>
      <c r="BG101" s="36">
        <f>VLOOKUP("3k6",$I$2:$J$11,2,FALSE)+IFERROR(VLOOKUP(Karakterlap!$V$7,$A$24:$H$33,8,FALSE),0)</f>
        <v>10</v>
      </c>
      <c r="BH101" s="36">
        <f>VLOOKUP("2k6+6",$I$2:$J$11,2,FALSE)+IFERROR(VLOOKUP(Karakterlap!$V$7,$A$24:$I$33,9,FALSE),0)</f>
        <v>13</v>
      </c>
      <c r="BI101" s="36">
        <f t="shared" si="6"/>
        <v>13</v>
      </c>
      <c r="BJ101" s="36">
        <f>VLOOKUP("2k6+6",$I$2:$J$11,2,FALSE)+IFERROR(VLOOKUP(Karakterlap!$V$7,$A$24:$J$33,10,FALSE),0)</f>
        <v>13</v>
      </c>
      <c r="BK101" s="36">
        <f t="shared" si="7"/>
        <v>13</v>
      </c>
      <c r="BL101" s="36">
        <f>IF((SUM(Karakterlap!$F$3:$F$12)-SUM(BB101:BK101))&lt;0,0,SUM(Karakterlap!$F$3:$F$12)-SUM(BB101:BK101))</f>
        <v>0</v>
      </c>
      <c r="BM101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101&gt;18,BI101,18))&gt;0,Karakterlap!$F$10-IF(BI101&gt;18,BI101,18),0),0)+IF(Karakterlap!$F$11&gt;(18+IFERROR(VLOOKUP(Karakterlap!$V$7,$A$24:$J$33,10,FALSE),0)),(Karakterlap!$F$11-(18+IFERROR(VLOOKUP(Karakterlap!$V$7,$A$24:$J$33,10,FALSE),0))),0)+IF(Karakterlap!$F$12&gt;18,IF((Karakterlap!$F$12-IF(BK101&gt;18,BK101,18))&gt;0,Karakterlap!$F$12-IF(BK101&gt;18,BK101,18),0),0)</f>
        <v>#VALUE!</v>
      </c>
      <c r="BW101" s="5"/>
      <c r="BX101" s="97" t="s">
        <v>189</v>
      </c>
      <c r="BY101" s="97" t="s">
        <v>189</v>
      </c>
      <c r="BZ101" s="97" t="s">
        <v>187</v>
      </c>
      <c r="CA101" s="97" t="s">
        <v>187</v>
      </c>
      <c r="CB101" s="97" t="s">
        <v>189</v>
      </c>
      <c r="CC101" s="97" t="s">
        <v>186</v>
      </c>
      <c r="CD101" s="97" t="s">
        <v>189</v>
      </c>
      <c r="CE101" s="97" t="s">
        <v>189</v>
      </c>
      <c r="CF101" s="97" t="s">
        <v>189</v>
      </c>
      <c r="CG101" s="97" t="s">
        <v>189</v>
      </c>
    </row>
    <row r="102" spans="12:85" x14ac:dyDescent="0.2">
      <c r="L102" t="s">
        <v>950</v>
      </c>
      <c r="M102">
        <v>0</v>
      </c>
      <c r="N102">
        <v>171</v>
      </c>
      <c r="O102">
        <v>351</v>
      </c>
      <c r="P102">
        <v>701</v>
      </c>
      <c r="Q102">
        <v>1501</v>
      </c>
      <c r="R102">
        <v>3001</v>
      </c>
      <c r="S102">
        <v>7001</v>
      </c>
      <c r="T102">
        <v>12001</v>
      </c>
      <c r="U102">
        <v>22001</v>
      </c>
      <c r="V102">
        <v>52501</v>
      </c>
      <c r="W102">
        <v>85501</v>
      </c>
      <c r="X102">
        <v>135001</v>
      </c>
      <c r="Y102">
        <f>IFERROR(IF(VLOOKUP(L102,Karakterlap!$P$3:$Z$4,10,FALSE)&gt;13,175501+((VLOOKUP(L102,Karakterlap!$P$3:$Z$4,10,FALSE)-13)*58500),175501),175501)</f>
        <v>175501</v>
      </c>
      <c r="Z102" s="9">
        <v>6</v>
      </c>
      <c r="AA102" s="9">
        <v>17</v>
      </c>
      <c r="AB102" s="9">
        <v>72</v>
      </c>
      <c r="AC102" s="9">
        <v>0</v>
      </c>
      <c r="AD102" s="9">
        <f>IFERROR(VLOOKUP(L102,Karakterlap!$P$3:$Z$4,10,FALSE)*8,8)</f>
        <v>8</v>
      </c>
      <c r="AE102" s="9">
        <f>IFERROR(IF(Karakterlap!$P$5="Váltott kaszt",IF(Karakterlap!$P$3=Adattábla!$L102,Karakterlap!$Y$3*3,IF(Karakterlap!$P$4=Adattábla!$L102,(Karakterlap!$Y$4-Adattábla!$I$20)*3,3)),VLOOKUP(Adattábla!$L102,Karakterlap!$P$3:$Z$4,10,FALSE)*3),3)</f>
        <v>3</v>
      </c>
      <c r="AF102" s="9">
        <f>IFERROR(IF(Karakterlap!$P$5="Váltott kaszt",IF(Karakterlap!$P$3=Adattábla!$L102,Karakterlap!$Y$3*3,IF(Karakterlap!$P$4=Adattábla!$L102,(Karakterlap!$Y$4-Adattábla!$I$20)*3,3)),VLOOKUP(Adattábla!$L102,Karakterlap!$P$3:$Z$4,10,FALSE)*3),3)</f>
        <v>3</v>
      </c>
      <c r="AG102" s="9">
        <v>3</v>
      </c>
      <c r="AH102" s="9">
        <f>IF(Karakterlap!$P$5="Iker kaszt",IF(Karakterlap!$P$3=L102,IFERROR((Karakterlap!$P$6*5)+(VLOOKUP(L102,Karakterlap!$P$3:$Z$4,10,FALSE)-Karakterlap!$P$6),5),IF(Karakterlap!$P$4=L102,VLOOKUP(L102,Karakterlap!$P$3:$Z$4,10,FALSE),5)),IF(Karakterlap!$P$5="Váltott kaszt",IF(L102=Karakterlap!$P$3,(Karakterlap!$Y$3+3)*5,VLOOKUP(L102,Karakterlap!$P$3:$Z$4,10,FALSE)*5),IFERROR(VLOOKUP(L102,Karakterlap!$P$3:$Z$4,10,FALSE)*5,5)))</f>
        <v>5</v>
      </c>
      <c r="AI102" s="9">
        <v>0</v>
      </c>
      <c r="AJ102" s="9">
        <v>5</v>
      </c>
      <c r="AK102" s="9">
        <v>4</v>
      </c>
      <c r="AL102">
        <f>IFERROR(IF(VLOOKUP(L102,Karakterlap!$P$3:$Z$4,10,FALSE)&gt;4,(($E$18+1)*4)+($E$18+2),VLOOKUP(L102,Karakterlap!$P$3:$Z$4,10,FALSE)*($E$18+1)),$E$18+1)</f>
        <v>7</v>
      </c>
      <c r="AM102">
        <f>IFERROR(IF(VLOOKUP(L102,Karakterlap!$P$3:$Z$4,10,FALSE)&gt;4,24+((VLOOKUP(L102,Karakterlap!$P$3:$Z$4,10,FALSE)-4)*8),VLOOKUP(L102,Karakterlap!$P$3:$Z$4,10,FALSE)*6),0)</f>
        <v>0</v>
      </c>
      <c r="AN102" t="s">
        <v>92</v>
      </c>
      <c r="AO102" t="str">
        <f>IFERROR((IF(Karakterlap!$F$9&gt;10,Karakterlap!$F$9-10,0))+5+((VLOOKUP(L102,Karakterlap!$P$3:$Z$4,10,FALSE)-1)*4),"más kaszt")</f>
        <v>más kaszt</v>
      </c>
      <c r="BA102">
        <f>IFERROR(IF(Karakterlap!$P$6&gt;13,175501+((Karakterlap!$P$6-13)*58500),175501),175501)</f>
        <v>175501</v>
      </c>
      <c r="BB102" s="36">
        <f>VLOOKUP("2k6+6",$I$2:$J$11,2,FALSE)+IFERROR(VLOOKUP(Karakterlap!$V$7,$A$24:$C$33,3,FALSE),0)</f>
        <v>13</v>
      </c>
      <c r="BC102" s="36">
        <f>VLOOKUP("2k6+6",$I$2:$J$11,2,FALSE)+IFERROR(VLOOKUP(Karakterlap!$V$7,$A$24:$D$33,4,FALSE),0)</f>
        <v>13</v>
      </c>
      <c r="BD102" s="36">
        <f>VLOOKUP("3k6(2x)",$I$2:$J$11,2,FALSE)+IFERROR(VLOOKUP(Karakterlap!$V$7,$A$24:$E$33,5,FALSE),0)</f>
        <v>11</v>
      </c>
      <c r="BE102" s="36">
        <f>VLOOKUP("3k6(2x)",$I$2:$J$11,2,FALSE)+IFERROR(VLOOKUP(Karakterlap!$V$7,$A$24:$F$33,6,FALSE),0)</f>
        <v>11</v>
      </c>
      <c r="BF102" s="36">
        <f>VLOOKUP("2k6+6",$I$2:$J$11,2,FALSE)+IFERROR(VLOOKUP(Karakterlap!$V$7,$A$24:$G$33,7,FALSE),0)</f>
        <v>13</v>
      </c>
      <c r="BG102" s="36">
        <f>VLOOKUP("3k6",$I$2:$J$11,2,FALSE)+IFERROR(VLOOKUP(Karakterlap!$V$7,$A$24:$H$33,8,FALSE),0)</f>
        <v>10</v>
      </c>
      <c r="BH102" s="36">
        <f>VLOOKUP("2k6+6",$I$2:$J$11,2,FALSE)+IFERROR(VLOOKUP(Karakterlap!$V$7,$A$24:$I$33,9,FALSE),0)</f>
        <v>13</v>
      </c>
      <c r="BI102" s="36">
        <f t="shared" si="6"/>
        <v>13</v>
      </c>
      <c r="BJ102" s="36">
        <f>VLOOKUP("2k6+6",$I$2:$J$11,2,FALSE)+IFERROR(VLOOKUP(Karakterlap!$V$7,$A$24:$J$33,10,FALSE),0)</f>
        <v>13</v>
      </c>
      <c r="BK102" s="36">
        <f t="shared" si="7"/>
        <v>13</v>
      </c>
      <c r="BL102" s="36">
        <f>IF((SUM(Karakterlap!$F$3:$F$12)-SUM(BB102:BK102))&lt;0,0,SUM(Karakterlap!$F$3:$F$12)-SUM(BB102:BK102))</f>
        <v>0</v>
      </c>
      <c r="BM102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102&gt;18,BI102,18))&gt;0,Karakterlap!$F$10-IF(BI102&gt;18,BI102,18),0),0)+IF(Karakterlap!$F$11&gt;(18+IFERROR(VLOOKUP(Karakterlap!$V$7,$A$24:$J$33,10,FALSE),0)),(Karakterlap!$F$11-(18+IFERROR(VLOOKUP(Karakterlap!$V$7,$A$24:$J$33,10,FALSE),0))),0)+IF(Karakterlap!$F$12&gt;18,IF((Karakterlap!$F$12-IF(BK102&gt;18,BK102,18))&gt;0,Karakterlap!$F$12-IF(BK102&gt;18,BK102,18),0),0)</f>
        <v>#VALUE!</v>
      </c>
      <c r="BW102" s="5"/>
      <c r="BX102" s="97" t="s">
        <v>189</v>
      </c>
      <c r="BY102" s="97" t="s">
        <v>189</v>
      </c>
      <c r="BZ102" s="97" t="s">
        <v>187</v>
      </c>
      <c r="CA102" s="97" t="s">
        <v>187</v>
      </c>
      <c r="CB102" s="97" t="s">
        <v>189</v>
      </c>
      <c r="CC102" s="97" t="s">
        <v>186</v>
      </c>
      <c r="CD102" s="97" t="s">
        <v>189</v>
      </c>
      <c r="CE102" s="97" t="s">
        <v>189</v>
      </c>
      <c r="CF102" s="97" t="s">
        <v>189</v>
      </c>
      <c r="CG102" s="97" t="s">
        <v>189</v>
      </c>
    </row>
    <row r="103" spans="12:85" x14ac:dyDescent="0.2">
      <c r="L103" t="s">
        <v>951</v>
      </c>
      <c r="M103">
        <v>0</v>
      </c>
      <c r="N103">
        <v>171</v>
      </c>
      <c r="O103">
        <v>351</v>
      </c>
      <c r="P103">
        <v>701</v>
      </c>
      <c r="Q103">
        <v>1501</v>
      </c>
      <c r="R103">
        <v>3001</v>
      </c>
      <c r="S103">
        <v>7001</v>
      </c>
      <c r="T103">
        <v>12001</v>
      </c>
      <c r="U103">
        <v>22001</v>
      </c>
      <c r="V103">
        <v>52501</v>
      </c>
      <c r="W103">
        <v>85501</v>
      </c>
      <c r="X103">
        <v>135001</v>
      </c>
      <c r="Y103">
        <f>IFERROR(IF(VLOOKUP(L103,Karakterlap!$P$3:$Z$4,10,FALSE)&gt;13,175501+((VLOOKUP(L103,Karakterlap!$P$3:$Z$4,10,FALSE)-13)*58500),175501),175501)</f>
        <v>175501</v>
      </c>
      <c r="Z103" s="9">
        <v>6</v>
      </c>
      <c r="AA103" s="9">
        <v>17</v>
      </c>
      <c r="AB103" s="9">
        <v>72</v>
      </c>
      <c r="AC103" s="9">
        <v>0</v>
      </c>
      <c r="AD103" s="9">
        <f>IFERROR(VLOOKUP(L103,Karakterlap!$P$3:$Z$4,10,FALSE)*8,8)</f>
        <v>8</v>
      </c>
      <c r="AE103" s="9">
        <f>IFERROR(IF(Karakterlap!$P$5="Váltott kaszt",IF(Karakterlap!$P$3=Adattábla!$L103,Karakterlap!$Y$3*3,IF(Karakterlap!$P$4=Adattábla!$L103,(Karakterlap!$Y$4-Adattábla!$I$20)*3,3)),VLOOKUP(Adattábla!$L103,Karakterlap!$P$3:$Z$4,10,FALSE)*3),3)</f>
        <v>3</v>
      </c>
      <c r="AF103" s="9">
        <f>IFERROR(IF(Karakterlap!$P$5="Váltott kaszt",IF(Karakterlap!$P$3=Adattábla!$L103,Karakterlap!$Y$3*3,IF(Karakterlap!$P$4=Adattábla!$L103,(Karakterlap!$Y$4-Adattábla!$I$20)*3,3)),VLOOKUP(Adattábla!$L103,Karakterlap!$P$3:$Z$4,10,FALSE)*3),3)</f>
        <v>3</v>
      </c>
      <c r="AG103" s="9">
        <v>3</v>
      </c>
      <c r="AH103" s="9">
        <f>IF(Karakterlap!$P$5="Iker kaszt",IF(Karakterlap!$P$3=L103,IFERROR((Karakterlap!$P$6*5)+(VLOOKUP(L103,Karakterlap!$P$3:$Z$4,10,FALSE)-Karakterlap!$P$6),5),IF(Karakterlap!$P$4=L103,VLOOKUP(L103,Karakterlap!$P$3:$Z$4,10,FALSE),5)),IF(Karakterlap!$P$5="Váltott kaszt",IF(L103=Karakterlap!$P$3,(Karakterlap!$Y$3+3)*5,VLOOKUP(L103,Karakterlap!$P$3:$Z$4,10,FALSE)*5),IFERROR(VLOOKUP(L103,Karakterlap!$P$3:$Z$4,10,FALSE)*5,5)))</f>
        <v>5</v>
      </c>
      <c r="AI103" s="9">
        <v>0</v>
      </c>
      <c r="AJ103" s="9">
        <v>5</v>
      </c>
      <c r="AK103" s="9">
        <v>4</v>
      </c>
      <c r="AL103">
        <f>IFERROR(IF(VLOOKUP(L103,Karakterlap!$P$3:$Z$4,10,FALSE)&gt;4,(($E$18+1)*4)+($E$18+2),VLOOKUP(L103,Karakterlap!$P$3:$Z$4,10,FALSE)*($E$18+1)),$E$18+1)</f>
        <v>7</v>
      </c>
      <c r="AM103">
        <f>IFERROR(IF(VLOOKUP(L103,Karakterlap!$P$3:$Z$4,10,FALSE)&gt;4,24+((VLOOKUP(L103,Karakterlap!$P$3:$Z$4,10,FALSE)-4)*8),VLOOKUP(L103,Karakterlap!$P$3:$Z$4,10,FALSE)*6),0)</f>
        <v>0</v>
      </c>
      <c r="AN103" t="s">
        <v>92</v>
      </c>
      <c r="AO103" t="str">
        <f>IFERROR((IF(Karakterlap!$F$9&gt;10,Karakterlap!$F$9-10,0))+5+((VLOOKUP(L103,Karakterlap!$P$3:$Z$4,10,FALSE)-1)*4),"más kaszt")</f>
        <v>más kaszt</v>
      </c>
      <c r="BA103">
        <f>IFERROR(IF(Karakterlap!$P$6&gt;13,175501+((Karakterlap!$P$6-13)*58500),175501),175501)</f>
        <v>175501</v>
      </c>
      <c r="BB103" s="36">
        <f>VLOOKUP("2k6+6",$I$2:$J$11,2,FALSE)+IFERROR(VLOOKUP(Karakterlap!$V$7,$A$24:$C$33,3,FALSE),0)</f>
        <v>13</v>
      </c>
      <c r="BC103" s="36">
        <f>VLOOKUP("2k6+6",$I$2:$J$11,2,FALSE)+IFERROR(VLOOKUP(Karakterlap!$V$7,$A$24:$D$33,4,FALSE),0)</f>
        <v>13</v>
      </c>
      <c r="BD103" s="36">
        <f>VLOOKUP("3k6(2x)",$I$2:$J$11,2,FALSE)+IFERROR(VLOOKUP(Karakterlap!$V$7,$A$24:$E$33,5,FALSE),0)</f>
        <v>11</v>
      </c>
      <c r="BE103" s="36">
        <f>VLOOKUP("3k6(2x)",$I$2:$J$11,2,FALSE)+IFERROR(VLOOKUP(Karakterlap!$V$7,$A$24:$F$33,6,FALSE),0)</f>
        <v>11</v>
      </c>
      <c r="BF103" s="36">
        <f>VLOOKUP("2k6+6",$I$2:$J$11,2,FALSE)+IFERROR(VLOOKUP(Karakterlap!$V$7,$A$24:$G$33,7,FALSE),0)</f>
        <v>13</v>
      </c>
      <c r="BG103" s="36">
        <f>VLOOKUP("3k6",$I$2:$J$11,2,FALSE)+IFERROR(VLOOKUP(Karakterlap!$V$7,$A$24:$H$33,8,FALSE),0)</f>
        <v>10</v>
      </c>
      <c r="BH103" s="36">
        <f>VLOOKUP("2k6+6",$I$2:$J$11,2,FALSE)+IFERROR(VLOOKUP(Karakterlap!$V$7,$A$24:$I$33,9,FALSE),0)</f>
        <v>13</v>
      </c>
      <c r="BI103" s="36">
        <f t="shared" si="6"/>
        <v>13</v>
      </c>
      <c r="BJ103" s="36">
        <f>VLOOKUP("2k6+6",$I$2:$J$11,2,FALSE)+IFERROR(VLOOKUP(Karakterlap!$V$7,$A$24:$J$33,10,FALSE),0)</f>
        <v>13</v>
      </c>
      <c r="BK103" s="36">
        <f t="shared" si="7"/>
        <v>13</v>
      </c>
      <c r="BL103" s="36">
        <f>IF((SUM(Karakterlap!$F$3:$F$12)-SUM(BB103:BK103))&lt;0,0,SUM(Karakterlap!$F$3:$F$12)-SUM(BB103:BK103))</f>
        <v>0</v>
      </c>
      <c r="BM103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103&gt;18,BI103,18))&gt;0,Karakterlap!$F$10-IF(BI103&gt;18,BI103,18),0),0)+IF(Karakterlap!$F$11&gt;(18+IFERROR(VLOOKUP(Karakterlap!$V$7,$A$24:$J$33,10,FALSE),0)),(Karakterlap!$F$11-(18+IFERROR(VLOOKUP(Karakterlap!$V$7,$A$24:$J$33,10,FALSE),0))),0)+IF(Karakterlap!$F$12&gt;18,IF((Karakterlap!$F$12-IF(BK103&gt;18,BK103,18))&gt;0,Karakterlap!$F$12-IF(BK103&gt;18,BK103,18),0),0)</f>
        <v>#VALUE!</v>
      </c>
      <c r="BW103" s="5"/>
      <c r="BX103" s="97" t="s">
        <v>189</v>
      </c>
      <c r="BY103" s="97" t="s">
        <v>189</v>
      </c>
      <c r="BZ103" s="97" t="s">
        <v>187</v>
      </c>
      <c r="CA103" s="97" t="s">
        <v>187</v>
      </c>
      <c r="CB103" s="97" t="s">
        <v>189</v>
      </c>
      <c r="CC103" s="97" t="s">
        <v>186</v>
      </c>
      <c r="CD103" s="97" t="s">
        <v>189</v>
      </c>
      <c r="CE103" s="97" t="s">
        <v>189</v>
      </c>
      <c r="CF103" s="97" t="s">
        <v>189</v>
      </c>
      <c r="CG103" s="97" t="s">
        <v>189</v>
      </c>
    </row>
    <row r="104" spans="12:85" x14ac:dyDescent="0.2">
      <c r="L104" t="s">
        <v>159</v>
      </c>
      <c r="M104">
        <v>0</v>
      </c>
      <c r="N104">
        <v>176</v>
      </c>
      <c r="O104">
        <v>353</v>
      </c>
      <c r="P104">
        <v>721</v>
      </c>
      <c r="Q104">
        <v>1501</v>
      </c>
      <c r="R104">
        <v>3501</v>
      </c>
      <c r="S104">
        <v>7001</v>
      </c>
      <c r="T104">
        <v>10501</v>
      </c>
      <c r="U104">
        <v>21001</v>
      </c>
      <c r="V104">
        <v>48001</v>
      </c>
      <c r="W104">
        <v>78001</v>
      </c>
      <c r="X104">
        <v>108001</v>
      </c>
      <c r="Y104">
        <f>IFERROR(IF(VLOOKUP(L104,Karakterlap!$P$3:$Z$4,10,FALSE)&gt;13,138001+((VLOOKUP(L104,Karakterlap!$P$3:$Z$4,10,FALSE)-13)*38000),138001),138001)</f>
        <v>138001</v>
      </c>
      <c r="Z104" s="9">
        <v>5</v>
      </c>
      <c r="AA104" s="9">
        <v>20</v>
      </c>
      <c r="AB104" s="9">
        <v>75</v>
      </c>
      <c r="AC104" s="9">
        <v>0</v>
      </c>
      <c r="AD104" s="9">
        <f>IFERROR(VLOOKUP(L104,Karakterlap!$P$3:$Z$4,10,FALSE)*10,10)</f>
        <v>10</v>
      </c>
      <c r="AE104" s="9">
        <f>IFERROR(IF(Karakterlap!$P$5="Váltott kaszt",IF(Karakterlap!$P$3=Adattábla!$L104,Karakterlap!$Y$3*4,IF(Karakterlap!$P$4=Adattábla!$L104,(Karakterlap!$Y$4-Adattábla!$I$20)*4,4)),VLOOKUP(Adattábla!$L104,Karakterlap!$P$3:$Z$4,10,FALSE)*4),4)</f>
        <v>4</v>
      </c>
      <c r="AF104" s="9">
        <f>IFERROR(IF(Karakterlap!$P$5="Váltott kaszt",IF(Karakterlap!$P$3=Adattábla!$L104,Karakterlap!$Y$3*4,IF(Karakterlap!$P$4=Adattábla!$L104,(Karakterlap!$Y$4-Adattábla!$I$20)*4,4)),VLOOKUP(Adattábla!$L104,Karakterlap!$P$3:$Z$4,10,FALSE)*4),4)</f>
        <v>4</v>
      </c>
      <c r="AG104" s="9">
        <v>1</v>
      </c>
      <c r="AH104" s="9">
        <f>IF(Karakterlap!$P$5="Iker kaszt",IF(Karakterlap!$P$3=L104,IFERROR((Karakterlap!$P$6*3)+(VLOOKUP(L104,Karakterlap!$P$3:$Z$4,10,FALSE)-Karakterlap!$P$6),3),IF(Karakterlap!$P$4=L104,VLOOKUP(L104,Karakterlap!$P$3:$Z$4,10,FALSE),3)),IF(Karakterlap!$P$5="Váltott kaszt",IF(L104=Karakterlap!$P$3,(Karakterlap!$Y$3+3)*3,VLOOKUP(L104,Karakterlap!$P$3:$Z$4,10,FALSE)*3),IFERROR(VLOOKUP(L104,Karakterlap!$P$3:$Z$4,10,FALSE)*3,3)))</f>
        <v>3</v>
      </c>
      <c r="AI104" s="9">
        <f>IFERROR(IF(Karakterlap!$P$5="Váltott kaszt",IF(L104=Karakterlap!$P$3,Karakterlap!$P$6*15,VLOOKUP(L104,Karakterlap!$P$3:$Z$4,10,FALSE)*15),VLOOKUP(L104,Karakterlap!$P$3:$Z$4,10,FALSE)*15),15)</f>
        <v>15</v>
      </c>
      <c r="AJ104" s="9">
        <v>6</v>
      </c>
      <c r="AK104" s="9">
        <v>6</v>
      </c>
      <c r="AL104">
        <f>IFERROR(VLOOKUP(L104,Karakterlap!$P$3:$Z$4,10,FALSE)*($E$18+4),$E$18+4)</f>
        <v>10</v>
      </c>
      <c r="AM104">
        <f>IFERROR(VLOOKUP(L104,Karakterlap!$P$3:$Z$4,10,FALSE)*(6),0)</f>
        <v>0</v>
      </c>
      <c r="AN104" t="s">
        <v>92</v>
      </c>
      <c r="AO104" t="str">
        <f>IFERROR((IF(Karakterlap!$F$9&gt;10,Karakterlap!$F$9-10,0))+5+((VLOOKUP(L104,Karakterlap!$P$3:$Z$4,10,FALSE)-1)*4),"más kaszt")</f>
        <v>más kaszt</v>
      </c>
      <c r="AQ104" s="14">
        <v>20</v>
      </c>
      <c r="AR104" s="14">
        <v>25</v>
      </c>
      <c r="AS104" s="14">
        <v>15</v>
      </c>
      <c r="BA104">
        <f>IFERROR(IF(Karakterlap!$P$6&gt;13,138001+((Karakterlap!$P$6-13)*38000),138001),138001)</f>
        <v>138001</v>
      </c>
      <c r="BB104" s="36">
        <f>VLOOKUP("k10+8",$I$2:$J$11,2,FALSE)+IFERROR(VLOOKUP(Karakterlap!$V$7,$A$24:$C$33,3,FALSE),0)</f>
        <v>14</v>
      </c>
      <c r="BC104" s="36">
        <f>VLOOKUP("k10+8",$I$2:$J$11,2,FALSE)+IFERROR(VLOOKUP(Karakterlap!$V$7,$A$24:$D$33,4,FALSE),0)</f>
        <v>14</v>
      </c>
      <c r="BD104" s="36">
        <f>VLOOKUP("3k6(2x)",$I$2:$J$11,2,FALSE)+IFERROR(VLOOKUP(Karakterlap!$V$7,$A$24:$E$33,5,FALSE),0)</f>
        <v>11</v>
      </c>
      <c r="BE104" s="36">
        <f>VLOOKUP("3k6(2x)",$I$2:$J$11,2,FALSE)+IFERROR(VLOOKUP(Karakterlap!$V$7,$A$24:$F$33,6,FALSE),0)</f>
        <v>11</v>
      </c>
      <c r="BF104" s="48">
        <f>VLOOKUP("k10+10",$I$2:$J$11,2,FALSE)+IFERROR(VLOOKUP(Karakterlap!$V$7,$A$24:$G$33,7,FALSE),0)</f>
        <v>16</v>
      </c>
      <c r="BG104" s="36">
        <f>VLOOKUP("k10+8",$I$2:$J$11,2,FALSE)+IFERROR(VLOOKUP(Karakterlap!$V$7,$A$24:$H$33,8,FALSE),0)</f>
        <v>14</v>
      </c>
      <c r="BH104" s="36">
        <f>VLOOKUP("2k6+6",$I$2:$J$11,2,FALSE)+IFERROR(VLOOKUP(Karakterlap!$V$7,$A$24:$I$33,9,FALSE),0)</f>
        <v>13</v>
      </c>
      <c r="BI104" s="36">
        <f>VLOOKUP("k10+8",$I$2:$J$11,2,FALSE)</f>
        <v>14</v>
      </c>
      <c r="BJ104" s="36">
        <f>VLOOKUP("k6+12",$I$2:$J$11,2,FALSE)+IFERROR(VLOOKUP(Karakterlap!$V$7,$A$24:$J$33,10,FALSE),0)</f>
        <v>16</v>
      </c>
      <c r="BK104" s="36">
        <f>VLOOKUP("k10+8",$I$2:$J$11,2,FALSE)</f>
        <v>14</v>
      </c>
      <c r="BL104" s="36">
        <f>IF((SUM(Karakterlap!$F$3:$F$12)-SUM(BB104:BK104))&lt;0,0,SUM(Karakterlap!$F$3:$F$12)-SUM(BB104:BK104))</f>
        <v>0</v>
      </c>
      <c r="BM104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(20+IFERROR(VLOOKUP(Karakterlap!$V$7,$A$24:$G$33,7,FALSE),0)),(Karakterlap!$F$7-(20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104&gt;18,BI104,18))&gt;0,Karakterlap!$F$10-IF(BI104&gt;18,BI104,18),0),0)+IF(Karakterlap!$F$11&gt;(18+IFERROR(VLOOKUP(Karakterlap!$V$7,$A$24:$J$33,10,FALSE),0)),(Karakterlap!$F$11-(18+IFERROR(VLOOKUP(Karakterlap!$V$7,$A$24:$J$33,10,FALSE),0))),0)+IF(Karakterlap!$F$12&gt;18,IF((Karakterlap!$F$12-IF(BK104&gt;18,BK104,18))&gt;0,Karakterlap!$F$12-IF(BK104&gt;18,BK104,18),0),0)</f>
        <v>#VALUE!</v>
      </c>
      <c r="BN104" t="s">
        <v>977</v>
      </c>
      <c r="BW104" s="5"/>
      <c r="BX104" s="97" t="s">
        <v>190</v>
      </c>
      <c r="BY104" s="97" t="s">
        <v>190</v>
      </c>
      <c r="BZ104" s="97" t="s">
        <v>187</v>
      </c>
      <c r="CA104" s="97" t="s">
        <v>187</v>
      </c>
      <c r="CB104" s="97" t="s">
        <v>193</v>
      </c>
      <c r="CC104" s="97" t="s">
        <v>190</v>
      </c>
      <c r="CD104" s="97" t="s">
        <v>189</v>
      </c>
      <c r="CE104" s="97" t="s">
        <v>190</v>
      </c>
      <c r="CF104" s="97" t="s">
        <v>192</v>
      </c>
      <c r="CG104" s="97" t="s">
        <v>190</v>
      </c>
    </row>
    <row r="105" spans="12:85" x14ac:dyDescent="0.2">
      <c r="L105" t="s">
        <v>955</v>
      </c>
      <c r="M105">
        <v>0</v>
      </c>
      <c r="N105">
        <v>171</v>
      </c>
      <c r="O105">
        <v>351</v>
      </c>
      <c r="P105">
        <v>701</v>
      </c>
      <c r="Q105">
        <v>1501</v>
      </c>
      <c r="R105">
        <v>3001</v>
      </c>
      <c r="S105">
        <v>7001</v>
      </c>
      <c r="T105">
        <v>12001</v>
      </c>
      <c r="U105">
        <v>22001</v>
      </c>
      <c r="V105">
        <v>52501</v>
      </c>
      <c r="W105">
        <v>85501</v>
      </c>
      <c r="X105">
        <v>135001</v>
      </c>
      <c r="Y105">
        <f>IFERROR(IF(VLOOKUP(L105,Karakterlap!$P$3:$Z$4,10,FALSE)&gt;13,175501+((VLOOKUP(L105,Karakterlap!$P$3:$Z$4,10,FALSE)-13)*58500),175501),175501)</f>
        <v>175501</v>
      </c>
      <c r="Z105" s="9">
        <v>6</v>
      </c>
      <c r="AA105" s="9">
        <v>17</v>
      </c>
      <c r="AB105" s="9">
        <v>72</v>
      </c>
      <c r="AC105" s="9">
        <v>0</v>
      </c>
      <c r="AD105" s="9">
        <f>IFERROR(VLOOKUP(L105,Karakterlap!$P$3:$Z$4,10,FALSE)*8,8)</f>
        <v>8</v>
      </c>
      <c r="AE105" s="9">
        <f>IFERROR(IF(Karakterlap!$P$5="Váltott kaszt",IF(Karakterlap!$P$3=Adattábla!$L105,Karakterlap!$Y$3*3,IF(Karakterlap!$P$4=Adattábla!$L105,(Karakterlap!$Y$4-Adattábla!$I$20)*3,3)),VLOOKUP(Adattábla!$L105,Karakterlap!$P$3:$Z$4,10,FALSE)*3),3)</f>
        <v>3</v>
      </c>
      <c r="AF105" s="9">
        <f>IFERROR(IF(Karakterlap!$P$5="Váltott kaszt",IF(Karakterlap!$P$3=Adattábla!$L105,Karakterlap!$Y$3*3,IF(Karakterlap!$P$4=Adattábla!$L105,(Karakterlap!$Y$4-Adattábla!$I$20)*3,3)),VLOOKUP(Adattábla!$L105,Karakterlap!$P$3:$Z$4,10,FALSE)*3),3)</f>
        <v>3</v>
      </c>
      <c r="AG105" s="9">
        <v>6</v>
      </c>
      <c r="AH105" s="9">
        <f>IF(Karakterlap!$P$5="Iker kaszt",IF(Karakterlap!$P$3=L105,IFERROR((Karakterlap!$P$6*10)+(VLOOKUP(L105,Karakterlap!$P$3:$Z$4,10,FALSE)-Karakterlap!$P$6),10),IF(Karakterlap!$P$4=L105,VLOOKUP(L105,Karakterlap!$P$3:$Z$4,10,FALSE),10)),IF(Karakterlap!$P$5="Váltott kaszt",IF(L105=Karakterlap!$P$3,(Karakterlap!$Y$3+3)*10,VLOOKUP(L105,Karakterlap!$P$3:$Z$4,10,FALSE)*10),IFERROR(VLOOKUP(L105,Karakterlap!$P$3:$Z$4,10,FALSE)*10,10)))</f>
        <v>10</v>
      </c>
      <c r="AI105" s="9">
        <v>0</v>
      </c>
      <c r="AJ105" s="9">
        <v>5</v>
      </c>
      <c r="AK105" s="9">
        <v>4</v>
      </c>
      <c r="AL105">
        <f>IFERROR(VLOOKUP(L105,Karakterlap!$P$3:$Z$4,10,FALSE)*($E$18+1),$E$18+1)</f>
        <v>7</v>
      </c>
      <c r="AM105">
        <f>IFERROR(IF(VLOOKUP(L105,Karakterlap!$P$3:$Z$4,10,FALSE)&gt;1,9+((VLOOKUP(L105,Karakterlap!$P$3:$Z$4,10,FALSE)-1)*(($E$18)+3)),9),9)</f>
        <v>9</v>
      </c>
      <c r="AN105" t="s">
        <v>92</v>
      </c>
      <c r="AO105" t="str">
        <f>IFERROR((IF(Karakterlap!$F$9&gt;10,Karakterlap!$F$9-10,0))+5+((VLOOKUP(L105,Karakterlap!$P$3:$Z$4,10,FALSE)-1)*4),"más kaszt")</f>
        <v>más kaszt</v>
      </c>
      <c r="BA105">
        <f>IFERROR(IF(Karakterlap!$P$6&gt;13,175501+((Karakterlap!$P$6-13)*58500),175501),175501)</f>
        <v>175501</v>
      </c>
      <c r="BB105" s="36">
        <f>VLOOKUP("2k6+6",$I$2:$J$11,2,FALSE)+IFERROR(VLOOKUP(Karakterlap!$V$7,$A$24:$C$33,3,FALSE),0)</f>
        <v>13</v>
      </c>
      <c r="BC105" s="36">
        <f>VLOOKUP("2k6+6",$I$2:$J$11,2,FALSE)+IFERROR(VLOOKUP(Karakterlap!$V$7,$A$24:$D$33,4,FALSE),0)</f>
        <v>13</v>
      </c>
      <c r="BD105" s="36">
        <f>VLOOKUP("3k6(2x)",$I$2:$J$11,2,FALSE)+IFERROR(VLOOKUP(Karakterlap!$V$7,$A$24:$E$33,5,FALSE),0)</f>
        <v>11</v>
      </c>
      <c r="BE105" s="36">
        <f>VLOOKUP("3k6(2x)",$I$2:$J$11,2,FALSE)+IFERROR(VLOOKUP(Karakterlap!$V$7,$A$24:$F$33,6,FALSE),0)</f>
        <v>11</v>
      </c>
      <c r="BF105" s="36">
        <f>VLOOKUP("2k6+6",$I$2:$J$11,2,FALSE)+IFERROR(VLOOKUP(Karakterlap!$V$7,$A$24:$G$33,7,FALSE),0)</f>
        <v>13</v>
      </c>
      <c r="BG105" s="36">
        <f>VLOOKUP("3k6",$I$2:$J$11,2,FALSE)+IFERROR(VLOOKUP(Karakterlap!$V$7,$A$24:$H$33,8,FALSE),0)</f>
        <v>10</v>
      </c>
      <c r="BH105" s="36">
        <f>VLOOKUP("2k6+6",$I$2:$J$11,2,FALSE)+IFERROR(VLOOKUP(Karakterlap!$V$7,$A$24:$I$33,9,FALSE),0)</f>
        <v>13</v>
      </c>
      <c r="BI105" s="36">
        <f>VLOOKUP("2k6+6",$I$2:$J$11,2,FALSE)</f>
        <v>13</v>
      </c>
      <c r="BJ105" s="36">
        <f>VLOOKUP("2k6+6",$I$2:$J$11,2,FALSE)+IFERROR(VLOOKUP(Karakterlap!$V$7,$A$24:$J$33,10,FALSE),0)</f>
        <v>13</v>
      </c>
      <c r="BK105" s="36">
        <f>VLOOKUP("2k6+6",$I$2:$J$11,2,FALSE)</f>
        <v>13</v>
      </c>
      <c r="BL105" s="36">
        <f>IF((SUM(Karakterlap!$F$3:$F$12)-SUM(BB105:BK105))&lt;0,0,SUM(Karakterlap!$F$3:$F$12)-SUM(BB105:BK105))</f>
        <v>0</v>
      </c>
      <c r="BM105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105&gt;18,BI105,18))&gt;0,Karakterlap!$F$10-IF(BI105&gt;18,BI105,18),0),0)+IF(Karakterlap!$F$11&gt;(18+IFERROR(VLOOKUP(Karakterlap!$V$7,$A$24:$J$33,10,FALSE),0)),(Karakterlap!$F$11-(18+IFERROR(VLOOKUP(Karakterlap!$V$7,$A$24:$J$33,10,FALSE),0))),0)+IF(Karakterlap!$F$12&gt;18,IF((Karakterlap!$F$12-IF(BK105&gt;18,BK105,18))&gt;0,Karakterlap!$F$12-IF(BK105&gt;18,BK105,18),0),0)</f>
        <v>#VALUE!</v>
      </c>
      <c r="BU105" t="s">
        <v>977</v>
      </c>
      <c r="BV105" t="s">
        <v>977</v>
      </c>
      <c r="BW105" s="5"/>
      <c r="BX105" s="97" t="s">
        <v>189</v>
      </c>
      <c r="BY105" s="97" t="s">
        <v>189</v>
      </c>
      <c r="BZ105" s="97" t="s">
        <v>187</v>
      </c>
      <c r="CA105" s="97" t="s">
        <v>187</v>
      </c>
      <c r="CB105" s="97" t="s">
        <v>189</v>
      </c>
      <c r="CC105" s="97" t="s">
        <v>186</v>
      </c>
      <c r="CD105" s="97" t="s">
        <v>189</v>
      </c>
      <c r="CE105" s="97" t="s">
        <v>189</v>
      </c>
      <c r="CF105" s="97" t="s">
        <v>189</v>
      </c>
      <c r="CG105" s="97" t="s">
        <v>189</v>
      </c>
    </row>
    <row r="106" spans="12:85" x14ac:dyDescent="0.2">
      <c r="L106" t="s">
        <v>959</v>
      </c>
      <c r="M106">
        <v>0</v>
      </c>
      <c r="N106">
        <v>166</v>
      </c>
      <c r="O106">
        <v>341</v>
      </c>
      <c r="P106">
        <v>691</v>
      </c>
      <c r="Q106">
        <v>1451</v>
      </c>
      <c r="R106">
        <v>3501</v>
      </c>
      <c r="S106">
        <v>7651</v>
      </c>
      <c r="T106">
        <v>13801</v>
      </c>
      <c r="U106">
        <v>27001</v>
      </c>
      <c r="V106">
        <v>50001</v>
      </c>
      <c r="W106">
        <v>97501</v>
      </c>
      <c r="X106">
        <v>147001</v>
      </c>
      <c r="Y106">
        <f>IFERROR(IF(VLOOKUP(L106,Karakterlap!$P$3:$Z$4,10,FALSE)&gt;13,192001+((VLOOKUP(L106,Karakterlap!$P$3:$Z$4,10,FALSE)-13)*55000),192001),192001)</f>
        <v>192001</v>
      </c>
      <c r="Z106">
        <v>4</v>
      </c>
      <c r="AA106">
        <v>15</v>
      </c>
      <c r="AB106">
        <v>70</v>
      </c>
      <c r="AC106">
        <v>0</v>
      </c>
      <c r="AD106">
        <f>IFERROR(VLOOKUP(L106,Karakterlap!$P$3:$Z$4,10,FALSE)*5,5)</f>
        <v>5</v>
      </c>
      <c r="AE106">
        <f>IFERROR(IF(Karakterlap!$P$5="Váltott kaszt",IF(Karakterlap!$P$3=Adattábla!$L106,Karakterlap!$Y$3*5,IF(Karakterlap!$P$4=Adattábla!$L106,(Karakterlap!$Y$4-Adattábla!$I$20)*1,1)),VLOOKUP(Adattábla!$L106,Karakterlap!$P$3:$Z$4,10,FALSE)*1),1)</f>
        <v>1</v>
      </c>
      <c r="AF106">
        <f>IFERROR(IF(Karakterlap!$P$5="Váltott kaszt",IF(Karakterlap!$P$3=Adattábla!$L106,Karakterlap!$Y$3*5,IF(Karakterlap!$P$4=Adattábla!$L106,(Karakterlap!$Y$4-Adattábla!$I$20)*1,1)),VLOOKUP(Adattábla!$L106,Karakterlap!$P$3:$Z$4,10,FALSE)*1),1)</f>
        <v>1</v>
      </c>
      <c r="AG106">
        <v>3</v>
      </c>
      <c r="AH106">
        <f>IF(Karakterlap!$P$5="Iker kaszt",IF(Karakterlap!$P$3=L106,IFERROR((Karakterlap!$P$6*4)+(VLOOKUP(L106,Karakterlap!$P$3:$Z$4,10,FALSE)-Karakterlap!$P$6),4),IF(Karakterlap!$P$4=L106,VLOOKUP(L106,Karakterlap!$P$3:$Z$4,10,FALSE),4)),IF(Karakterlap!$P$5="Váltott kaszt",IF(L106=Karakterlap!$P$3,(Karakterlap!$Y$3+3)*4,VLOOKUP(L106,Karakterlap!$P$3:$Z$4,10,FALSE)*4),IFERROR(VLOOKUP(L106,Karakterlap!$P$3:$Z$4,10,FALSE)*4,4)))</f>
        <v>4</v>
      </c>
      <c r="AI106" s="9">
        <v>0</v>
      </c>
      <c r="AJ106">
        <v>4</v>
      </c>
      <c r="AK106">
        <v>6</v>
      </c>
      <c r="AL106">
        <f>IFERROR(VLOOKUP(L106,Karakterlap!$P$3:$Z$4,10,FALSE)*($E$18+2),$E$18+2)</f>
        <v>8</v>
      </c>
      <c r="AM106">
        <f>IFERROR(IF(VLOOKUP(L106,Karakterlap!$P$3:$Z$4,10,FALSE)&gt;1,7+((VLOOKUP(L106,Karakterlap!$P$3:$Z$4,10,FALSE)-1)*(Karakterlap!$F$10-10)),7),7)</f>
        <v>7</v>
      </c>
      <c r="AN106" t="s">
        <v>157</v>
      </c>
      <c r="BA106">
        <f>IFERROR(IF(Karakterlap!$P$6&gt;13,192001+((Karakterlap!$P$6-13)*55000),192001),192001)</f>
        <v>192001</v>
      </c>
      <c r="BB106" s="36">
        <f>VLOOKUP("3k6(2X)",$I$2:$J$11,2,FALSE)+IFERROR(VLOOKUP(Karakterlap!$V$7,$A$24:$C$33,3,FALSE),0)</f>
        <v>11</v>
      </c>
      <c r="BC106" s="36">
        <f>VLOOKUP("2k6+6",$I$2:$J$11,2,FALSE)+IFERROR(VLOOKUP(Karakterlap!$V$7,$A$24:$D$33,4,FALSE),0)</f>
        <v>13</v>
      </c>
      <c r="BD106" s="36">
        <f>VLOOKUP("3k6(2x)",$I$2:$J$11,2,FALSE)+IFERROR(VLOOKUP(Karakterlap!$V$7,$A$24:$E$33,5,FALSE),0)</f>
        <v>11</v>
      </c>
      <c r="BE106" s="36">
        <f>VLOOKUP("3k6(2x)",$I$2:$J$11,2,FALSE)+IFERROR(VLOOKUP(Karakterlap!$V$7,$A$24:$E$33,5,FALSE),0)</f>
        <v>11</v>
      </c>
      <c r="BF106" s="36">
        <f>VLOOKUP("k10+6",$I$2:$J$11,2,FALSE)+IFERROR(VLOOKUP(Karakterlap!$V$7,$A$24:$G$33,7,FALSE),0)</f>
        <v>12</v>
      </c>
      <c r="BG106" s="36">
        <f>VLOOKUP("3k6",$I$2:$J$11,2,FALSE)+IFERROR(VLOOKUP(Karakterlap!$V$7,$A$24:$H$33,8,FALSE),0)</f>
        <v>10</v>
      </c>
      <c r="BH106" s="36">
        <f>VLOOKUP("2k6+6",$I$2:$J$11,2,FALSE)+IFERROR(VLOOKUP(Karakterlap!$V$7,$A$24:$I$33,9,FALSE),0)</f>
        <v>13</v>
      </c>
      <c r="BI106" s="36">
        <f>VLOOKUP("k6+12",$I$2:$J$11,2,FALSE)</f>
        <v>16</v>
      </c>
      <c r="BJ106" s="36">
        <f>VLOOKUP("k10+8",$I$2:$J$11,2,FALSE)</f>
        <v>14</v>
      </c>
      <c r="BK106" s="36">
        <f>VLOOKUP("k10+8",$I$2:$J$11,2,FALSE)</f>
        <v>14</v>
      </c>
      <c r="BL106" s="36">
        <f>IF((SUM(Karakterlap!$F$3:$F$12)-SUM(BB106:BK106))&lt;0,0,SUM(Karakterlap!$F$3:$F$12)-SUM(BB106:BK106))</f>
        <v>0</v>
      </c>
      <c r="BM106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106&gt;18,BI106,18))&gt;0,Karakterlap!$F$10-IF(BI106&gt;18,BI106,18),0),0)+IF(Karakterlap!$F$11&gt;(18+IFERROR(VLOOKUP(Karakterlap!$V$7,$A$24:$J$33,10,FALSE),0)),(Karakterlap!$F$11-(18+IFERROR(VLOOKUP(Karakterlap!$V$7,$A$24:$J$33,10,FALSE),0))),0)+IF(Karakterlap!$F$12&gt;18,IF((Karakterlap!$F$12-IF(BK106&gt;18,BK106,18))&gt;0,Karakterlap!$F$12-IF(BK106&gt;18,BK106,18),0),0)</f>
        <v>#VALUE!</v>
      </c>
      <c r="BU106" t="s">
        <v>977</v>
      </c>
      <c r="BV106" t="s">
        <v>977</v>
      </c>
      <c r="BW106" s="5"/>
      <c r="BX106" s="97" t="s">
        <v>979</v>
      </c>
      <c r="BY106" s="97" t="s">
        <v>189</v>
      </c>
      <c r="BZ106" s="97" t="s">
        <v>187</v>
      </c>
      <c r="CA106" s="97" t="s">
        <v>187</v>
      </c>
      <c r="CB106" s="97" t="s">
        <v>188</v>
      </c>
      <c r="CC106" s="97" t="s">
        <v>186</v>
      </c>
      <c r="CD106" s="97" t="s">
        <v>189</v>
      </c>
      <c r="CE106" s="97" t="s">
        <v>192</v>
      </c>
      <c r="CF106" s="97" t="s">
        <v>190</v>
      </c>
      <c r="CG106" s="97" t="s">
        <v>190</v>
      </c>
    </row>
    <row r="107" spans="12:85" x14ac:dyDescent="0.2">
      <c r="L107" t="s">
        <v>158</v>
      </c>
      <c r="M107">
        <v>0</v>
      </c>
      <c r="N107">
        <v>201</v>
      </c>
      <c r="O107">
        <v>401</v>
      </c>
      <c r="P107">
        <v>801</v>
      </c>
      <c r="Q107">
        <v>1601</v>
      </c>
      <c r="R107">
        <v>4001</v>
      </c>
      <c r="S107">
        <v>8001</v>
      </c>
      <c r="T107">
        <v>16001</v>
      </c>
      <c r="U107">
        <v>32001</v>
      </c>
      <c r="V107">
        <v>59001</v>
      </c>
      <c r="W107">
        <v>90501</v>
      </c>
      <c r="X107">
        <v>140001</v>
      </c>
      <c r="Y107">
        <f>IFERROR(IF(VLOOKUP(L107,Karakterlap!$P$3:$Z$4,10,FALSE)&gt;13,190001+((VLOOKUP(L107,Karakterlap!$P$3:$Z$4,10,FALSE)-13)*55000),190001),190001)</f>
        <v>190001</v>
      </c>
      <c r="Z107">
        <v>5</v>
      </c>
      <c r="AA107">
        <v>15</v>
      </c>
      <c r="AB107">
        <v>75</v>
      </c>
      <c r="AC107">
        <v>0</v>
      </c>
      <c r="AD107">
        <f>IFERROR(VLOOKUP(L107,Karakterlap!$P$3:$Z$4,10,FALSE)*8,8)</f>
        <v>8</v>
      </c>
      <c r="AE107">
        <f>IFERROR(IF(Karakterlap!$P$5="Váltott kaszt",IF(Karakterlap!$P$3=Adattábla!$L107,Karakterlap!$Y$3*2,IF(Karakterlap!$P$4=Adattábla!$L107,(Karakterlap!$Y$4-Adattábla!$I$20)*2,2)),VLOOKUP(Adattábla!$L107,Karakterlap!$P$3:$Z$4,10,FALSE)*2),2)</f>
        <v>2</v>
      </c>
      <c r="AF107">
        <f>IFERROR(IF(Karakterlap!$P$5="Váltott kaszt",IF(Karakterlap!$P$3=Adattábla!$L107,Karakterlap!$Y$3*4,IF(Karakterlap!$P$4=Adattábla!$L107,(Karakterlap!$Y$4-Adattábla!$I$20)*4,4)),VLOOKUP(Adattábla!$L107,Karakterlap!$P$3:$Z$4,10,FALSE)*4),4)</f>
        <v>4</v>
      </c>
      <c r="AG107">
        <v>5</v>
      </c>
      <c r="AH107">
        <f>IF(Karakterlap!$P$5="Iker kaszt",IF(Karakterlap!$P$3=L107,IFERROR((Karakterlap!$P$6*8)+(VLOOKUP(L107,Karakterlap!$P$3:$Z$4,10,FALSE)-Karakterlap!$P$6),8),IF(Karakterlap!$P$4=L107,VLOOKUP(L107,Karakterlap!$P$3:$Z$4,10,FALSE),8)),IF(Karakterlap!$P$5="Váltott kaszt",IF(L107=Karakterlap!$P$3,(Karakterlap!$Y$3+3)*8,VLOOKUP(L107,Karakterlap!$P$3:$Z$4,10,FALSE)*8),IFERROR(VLOOKUP(L107,Karakterlap!$P$3:$Z$4,10,FALSE)*8,8)))</f>
        <v>8</v>
      </c>
      <c r="AI107" s="9">
        <v>0</v>
      </c>
      <c r="AJ107" s="9">
        <v>4</v>
      </c>
      <c r="AK107" s="9">
        <v>8</v>
      </c>
      <c r="AL107">
        <f>IFERROR(VLOOKUP(L107,Karakterlap!$P$3:$Z$4,10,FALSE)*($E$18+5),$E$18+5)</f>
        <v>11</v>
      </c>
      <c r="AM107">
        <f>IFERROR(IF(VLOOKUP(L107,Karakterlap!$P$3:$Z$4,10,FALSE)&gt;1,9+((VLOOKUP(L107,Karakterlap!$P$3:$Z$4,10,FALSE)-1)*(($E$18/2)+6)),9),9)</f>
        <v>9</v>
      </c>
      <c r="AN107" t="s">
        <v>92</v>
      </c>
      <c r="AO107" t="str">
        <f>IFERROR((IF(Karakterlap!$F$9&gt;10,Karakterlap!$F$9-10,0))+7+((VLOOKUP(L107,Karakterlap!$P$3:$Z$4,10,FALSE)-1)*6),"más kaszt")</f>
        <v>más kaszt</v>
      </c>
      <c r="BA107">
        <f>IFERROR(IF(Karakterlap!$P$6&gt;13,190001+((Karakterlap!$P$6-13)*55000),190001),190001)</f>
        <v>190001</v>
      </c>
      <c r="BB107" s="36">
        <f>VLOOKUP("2k6+6",$I$2:$J$11,2,FALSE)+IFERROR(VLOOKUP(Karakterlap!$V$7,$A$24:$C$33,3,FALSE),0)</f>
        <v>13</v>
      </c>
      <c r="BC107" s="36">
        <f>VLOOKUP("k6+12",$I$2:$J$11,2,FALSE)+IFERROR(VLOOKUP(Karakterlap!$V$7,$A$24:$I$33,9,FALSE),0)</f>
        <v>16</v>
      </c>
      <c r="BD107" s="36">
        <f>VLOOKUP("2k6+6",$I$2:$J$11,2,FALSE)+IFERROR(VLOOKUP(Karakterlap!$V$7,$A$24:$D$33,4,FALSE),0)</f>
        <v>13</v>
      </c>
      <c r="BE107" s="36">
        <f>VLOOKUP("2k6+6",$I$2:$J$11,2,FALSE)+IFERROR(VLOOKUP(Karakterlap!$V$7,$A$24:$D$33,4,FALSE),0)</f>
        <v>13</v>
      </c>
      <c r="BF107" s="36">
        <f>VLOOKUP("3k6(2x)",$I$2:$J$11,2,FALSE)+IFERROR(VLOOKUP(Karakterlap!$V$7,$A$24:$E$33,5,FALSE),0)</f>
        <v>11</v>
      </c>
      <c r="BG107" s="36">
        <f>VLOOKUP("3k6(2x)",$I$2:$J$11,2,FALSE)+IFERROR(VLOOKUP(Karakterlap!$V$7,$A$24:$E$33,5,FALSE),0)</f>
        <v>11</v>
      </c>
      <c r="BH107" s="36">
        <f>VLOOKUP("2k6+6",$I$2:$J$11,2,FALSE)+IFERROR(VLOOKUP(Karakterlap!$V$7,$A$24:$I$33,9,FALSE),0)</f>
        <v>13</v>
      </c>
      <c r="BI107" s="36">
        <f>VLOOKUP("k6+12",$I$2:$J$11,2,FALSE)</f>
        <v>16</v>
      </c>
      <c r="BJ107" s="36">
        <f>VLOOKUP("k6+12",$I$2:$J$11,2,FALSE)</f>
        <v>16</v>
      </c>
      <c r="BK107" s="36">
        <f>VLOOKUP("k10+8",$I$2:$J$11,2,FALSE)</f>
        <v>14</v>
      </c>
      <c r="BL107" s="36">
        <f>IF((SUM(Karakterlap!$F$3:$F$12)-SUM(BB107:BK107))&lt;0,0,SUM(Karakterlap!$F$3:$F$12)-SUM(BB107:BK107))</f>
        <v>0</v>
      </c>
      <c r="BM107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107&gt;18,BI107,18))&gt;0,Karakterlap!$F$10-IF(BI107&gt;18,BI107,18),0),0)+IF(Karakterlap!$F$11&gt;(18+IFERROR(VLOOKUP(Karakterlap!$V$7,$A$24:$J$33,10,FALSE),0)),(Karakterlap!$F$11-(18+IFERROR(VLOOKUP(Karakterlap!$V$7,$A$24:$J$33,10,FALSE),0))),0)+IF(Karakterlap!$F$12&gt;18,IF((Karakterlap!$F$12-IF(BK107&gt;18,BK107,18))&gt;0,Karakterlap!$F$12-IF(BK107&gt;18,BK107,18),0),0)</f>
        <v>#VALUE!</v>
      </c>
      <c r="BW107" s="5"/>
      <c r="BX107" s="97" t="s">
        <v>189</v>
      </c>
      <c r="BY107" s="97" t="s">
        <v>192</v>
      </c>
      <c r="BZ107" s="97" t="s">
        <v>189</v>
      </c>
      <c r="CA107" s="97" t="s">
        <v>189</v>
      </c>
      <c r="CB107" s="97" t="s">
        <v>187</v>
      </c>
      <c r="CC107" s="97" t="s">
        <v>187</v>
      </c>
      <c r="CD107" s="97" t="s">
        <v>189</v>
      </c>
      <c r="CE107" s="97" t="s">
        <v>192</v>
      </c>
      <c r="CF107" s="97" t="s">
        <v>192</v>
      </c>
      <c r="CG107" s="97" t="s">
        <v>190</v>
      </c>
    </row>
    <row r="108" spans="12:85" x14ac:dyDescent="0.2">
      <c r="L108" t="s">
        <v>963</v>
      </c>
      <c r="M108">
        <v>0</v>
      </c>
      <c r="N108">
        <v>201</v>
      </c>
      <c r="O108">
        <v>401</v>
      </c>
      <c r="P108">
        <v>801</v>
      </c>
      <c r="Q108">
        <v>1601</v>
      </c>
      <c r="R108">
        <v>4001</v>
      </c>
      <c r="S108">
        <v>8001</v>
      </c>
      <c r="T108">
        <v>16001</v>
      </c>
      <c r="U108">
        <v>32001</v>
      </c>
      <c r="V108">
        <v>59001</v>
      </c>
      <c r="W108">
        <v>90501</v>
      </c>
      <c r="X108">
        <v>140001</v>
      </c>
      <c r="Y108">
        <f>IFERROR(IF(VLOOKUP(L108,Karakterlap!$P$3:$Z$4,10,FALSE)&gt;13,190001+((VLOOKUP(L108,Karakterlap!$P$3:$Z$4,10,FALSE)-13)*55000),190001),190001)</f>
        <v>190001</v>
      </c>
      <c r="Z108">
        <v>5</v>
      </c>
      <c r="AA108">
        <v>15</v>
      </c>
      <c r="AB108">
        <v>75</v>
      </c>
      <c r="AC108">
        <v>0</v>
      </c>
      <c r="AD108">
        <f>IFERROR(VLOOKUP(L108,Karakterlap!$P$3:$Z$4,10,FALSE)*8,8)</f>
        <v>8</v>
      </c>
      <c r="AE108">
        <f>IFERROR(IF(Karakterlap!$P$5="Váltott kaszt",IF(Karakterlap!$P$3=Adattábla!$L108,Karakterlap!$Y$3*2,IF(Karakterlap!$P$4=Adattábla!$L108,(Karakterlap!$Y$4-Adattábla!$I$20)*2,2)),VLOOKUP(Adattábla!$L108,Karakterlap!$P$3:$Z$4,10,FALSE)*2),2)</f>
        <v>2</v>
      </c>
      <c r="AF108">
        <f>IFERROR(IF(Karakterlap!$P$5="Váltott kaszt",IF(Karakterlap!$P$3=Adattábla!$L108,Karakterlap!$Y$3*4,IF(Karakterlap!$P$4=Adattábla!$L108,(Karakterlap!$Y$4-Adattábla!$I$20)*4,4)),VLOOKUP(Adattábla!$L108,Karakterlap!$P$3:$Z$4,10,FALSE)*4),4)</f>
        <v>4</v>
      </c>
      <c r="AG108">
        <v>5</v>
      </c>
      <c r="AH108">
        <f>IF(Karakterlap!$P$5="Iker kaszt",IF(Karakterlap!$P$3=L108,IFERROR((Karakterlap!$P$6*8)+(VLOOKUP(L108,Karakterlap!$P$3:$Z$4,10,FALSE)-Karakterlap!$P$6),8),IF(Karakterlap!$P$4=L108,VLOOKUP(L108,Karakterlap!$P$3:$Z$4,10,FALSE),8)),IF(Karakterlap!$P$5="Váltott kaszt",IF(L108=Karakterlap!$P$3,(Karakterlap!$Y$3+3)*8,VLOOKUP(L108,Karakterlap!$P$3:$Z$4,10,FALSE)*8),IFERROR(VLOOKUP(L108,Karakterlap!$P$3:$Z$4,10,FALSE)*8,8)))</f>
        <v>8</v>
      </c>
      <c r="AI108" s="9">
        <v>0</v>
      </c>
      <c r="AJ108" s="9">
        <v>4</v>
      </c>
      <c r="AK108" s="9">
        <v>8</v>
      </c>
      <c r="AL108">
        <f>IFERROR(VLOOKUP(L108,Karakterlap!$P$3:$Z$4,10,FALSE)*($E$18+5),$E$18+5)</f>
        <v>11</v>
      </c>
      <c r="AM108">
        <f>IFERROR(IF(VLOOKUP(L108,Karakterlap!$P$3:$Z$4,10,FALSE)&gt;1,9+((VLOOKUP(L108,Karakterlap!$P$3:$Z$4,10,FALSE)-1)*(($E$18/2)+6)),9),9)</f>
        <v>9</v>
      </c>
      <c r="AN108" t="s">
        <v>92</v>
      </c>
      <c r="AO108" t="str">
        <f>IFERROR((IF(Karakterlap!$F$9&gt;10,Karakterlap!$F$9-10,0))+7+((VLOOKUP(L108,Karakterlap!$P$3:$Z$4,10,FALSE)-1)*6),"más kaszt")</f>
        <v>más kaszt</v>
      </c>
      <c r="BA108">
        <f>IFERROR(IF(Karakterlap!$P$6&gt;13,190001+((Karakterlap!$P$6-13)*55000),190001),190001)</f>
        <v>190001</v>
      </c>
      <c r="BB108" s="36">
        <f>VLOOKUP("2k6+6",$I$2:$J$11,2,FALSE)+IFERROR(VLOOKUP(Karakterlap!$V$7,$A$24:$C$33,3,FALSE),0)</f>
        <v>13</v>
      </c>
      <c r="BC108" s="36">
        <f>VLOOKUP("k6+12",$I$2:$J$11,2,FALSE)+IFERROR(VLOOKUP(Karakterlap!$V$7,$A$24:$I$33,9,FALSE),0)</f>
        <v>16</v>
      </c>
      <c r="BD108" s="36">
        <f>VLOOKUP("2k6+6",$I$2:$J$11,2,FALSE)+IFERROR(VLOOKUP(Karakterlap!$V$7,$A$24:$D$33,4,FALSE),0)</f>
        <v>13</v>
      </c>
      <c r="BE108" s="36">
        <f>VLOOKUP("2k6+6",$I$2:$J$11,2,FALSE)+IFERROR(VLOOKUP(Karakterlap!$V$7,$A$24:$D$33,4,FALSE),0)</f>
        <v>13</v>
      </c>
      <c r="BF108" s="36">
        <f>VLOOKUP("3k6(2x)",$I$2:$J$11,2,FALSE)+IFERROR(VLOOKUP(Karakterlap!$V$7,$A$24:$E$33,5,FALSE),0)</f>
        <v>11</v>
      </c>
      <c r="BG108" s="36">
        <f>VLOOKUP("3k6(2x)",$I$2:$J$11,2,FALSE)+IFERROR(VLOOKUP(Karakterlap!$V$7,$A$24:$E$33,5,FALSE),0)</f>
        <v>11</v>
      </c>
      <c r="BH108" s="36">
        <f>VLOOKUP("2k6+6",$I$2:$J$11,2,FALSE)+IFERROR(VLOOKUP(Karakterlap!$V$7,$A$24:$I$33,9,FALSE),0)</f>
        <v>13</v>
      </c>
      <c r="BI108" s="36">
        <f>VLOOKUP("k6+12",$I$2:$J$11,2,FALSE)</f>
        <v>16</v>
      </c>
      <c r="BJ108" s="36">
        <f>VLOOKUP("k6+12",$I$2:$J$11,2,FALSE)</f>
        <v>16</v>
      </c>
      <c r="BK108" s="36">
        <f>VLOOKUP("k10+8",$I$2:$J$11,2,FALSE)</f>
        <v>14</v>
      </c>
      <c r="BL108" s="36">
        <f>IF((SUM(Karakterlap!$F$3:$F$12)-SUM(BB108:BK108))&lt;0,0,SUM(Karakterlap!$F$3:$F$12)-SUM(BB108:BK108))</f>
        <v>0</v>
      </c>
      <c r="BM108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108&gt;18,BI108,18))&gt;0,Karakterlap!$F$10-IF(BI108&gt;18,BI108,18),0),0)+IF(Karakterlap!$F$11&gt;(18+IFERROR(VLOOKUP(Karakterlap!$V$7,$A$24:$J$33,10,FALSE),0)),(Karakterlap!$F$11-(18+IFERROR(VLOOKUP(Karakterlap!$V$7,$A$24:$J$33,10,FALSE),0))),0)+IF(Karakterlap!$F$12&gt;18,IF((Karakterlap!$F$12-IF(BK108&gt;18,BK108,18))&gt;0,Karakterlap!$F$12-IF(BK108&gt;18,BK108,18),0),0)</f>
        <v>#VALUE!</v>
      </c>
      <c r="BU108" t="s">
        <v>977</v>
      </c>
      <c r="BV108" t="s">
        <v>977</v>
      </c>
      <c r="BW108" s="5"/>
      <c r="BX108" s="97" t="s">
        <v>189</v>
      </c>
      <c r="BY108" s="97" t="s">
        <v>192</v>
      </c>
      <c r="BZ108" s="97" t="s">
        <v>189</v>
      </c>
      <c r="CA108" s="97" t="s">
        <v>189</v>
      </c>
      <c r="CB108" s="97" t="s">
        <v>187</v>
      </c>
      <c r="CC108" s="97" t="s">
        <v>187</v>
      </c>
      <c r="CD108" s="97" t="s">
        <v>189</v>
      </c>
      <c r="CE108" s="97" t="s">
        <v>192</v>
      </c>
      <c r="CF108" s="97" t="s">
        <v>192</v>
      </c>
      <c r="CG108" s="97" t="s">
        <v>190</v>
      </c>
    </row>
    <row r="109" spans="12:85" x14ac:dyDescent="0.2">
      <c r="L109" t="s">
        <v>962</v>
      </c>
      <c r="M109">
        <v>0</v>
      </c>
      <c r="N109">
        <v>201</v>
      </c>
      <c r="O109">
        <v>401</v>
      </c>
      <c r="P109">
        <v>801</v>
      </c>
      <c r="Q109">
        <v>1601</v>
      </c>
      <c r="R109">
        <v>4001</v>
      </c>
      <c r="S109">
        <v>8001</v>
      </c>
      <c r="T109">
        <v>16001</v>
      </c>
      <c r="U109">
        <v>32001</v>
      </c>
      <c r="V109">
        <v>59001</v>
      </c>
      <c r="W109">
        <v>90501</v>
      </c>
      <c r="X109">
        <v>140001</v>
      </c>
      <c r="Y109">
        <f>IFERROR(IF(VLOOKUP(L109,Karakterlap!$P$3:$Z$4,10,FALSE)&gt;13,190001+((VLOOKUP(L109,Karakterlap!$P$3:$Z$4,10,FALSE)-13)*55000),190001),190001)</f>
        <v>190001</v>
      </c>
      <c r="Z109">
        <v>5</v>
      </c>
      <c r="AA109">
        <v>15</v>
      </c>
      <c r="AB109">
        <v>75</v>
      </c>
      <c r="AC109">
        <v>0</v>
      </c>
      <c r="AD109">
        <f>IFERROR(VLOOKUP(L109,Karakterlap!$P$3:$Z$4,10,FALSE)*8,8)</f>
        <v>8</v>
      </c>
      <c r="AE109">
        <f>IFERROR(IF(Karakterlap!$P$5="Váltott kaszt",IF(Karakterlap!$P$3=Adattábla!$L109,Karakterlap!$Y$3*2,IF(Karakterlap!$P$4=Adattábla!$L109,(Karakterlap!$Y$4-Adattábla!$I$20)*2,2)),VLOOKUP(Adattábla!$L109,Karakterlap!$P$3:$Z$4,10,FALSE)*2),2)</f>
        <v>2</v>
      </c>
      <c r="AF109">
        <f>IFERROR(IF(Karakterlap!$P$5="Váltott kaszt",IF(Karakterlap!$P$3=Adattábla!$L109,Karakterlap!$Y$3*4,IF(Karakterlap!$P$4=Adattábla!$L109,(Karakterlap!$Y$4-Adattábla!$I$20)*4,4)),VLOOKUP(Adattábla!$L109,Karakterlap!$P$3:$Z$4,10,FALSE)*4),4)</f>
        <v>4</v>
      </c>
      <c r="AG109">
        <v>5</v>
      </c>
      <c r="AH109">
        <f>IF(Karakterlap!$P$5="Iker kaszt",IF(Karakterlap!$P$3=L109,IFERROR((Karakterlap!$P$6*8)+(VLOOKUP(L109,Karakterlap!$P$3:$Z$4,10,FALSE)-Karakterlap!$P$6),8),IF(Karakterlap!$P$4=L109,VLOOKUP(L109,Karakterlap!$P$3:$Z$4,10,FALSE),8)),IF(Karakterlap!$P$5="Váltott kaszt",IF(L109=Karakterlap!$P$3,(Karakterlap!$Y$3+3)*8,VLOOKUP(L109,Karakterlap!$P$3:$Z$4,10,FALSE)*8),IFERROR(VLOOKUP(L109,Karakterlap!$P$3:$Z$4,10,FALSE)*8,8)))</f>
        <v>8</v>
      </c>
      <c r="AI109" s="9">
        <v>0</v>
      </c>
      <c r="AJ109" s="9">
        <v>4</v>
      </c>
      <c r="AK109" s="9">
        <v>8</v>
      </c>
      <c r="AL109">
        <f>IFERROR(VLOOKUP(L109,Karakterlap!$P$3:$Z$4,10,FALSE)*($E$18+5),$E$18+5)</f>
        <v>11</v>
      </c>
      <c r="AM109">
        <f>IFERROR(IF(VLOOKUP(L109,Karakterlap!$P$3:$Z$4,10,FALSE)&gt;1,9+((VLOOKUP(L109,Karakterlap!$P$3:$Z$4,10,FALSE)-1)*(($E$18/2)+6)),9),9)</f>
        <v>9</v>
      </c>
      <c r="AN109" t="s">
        <v>92</v>
      </c>
      <c r="AO109" t="str">
        <f>IFERROR((IF(Karakterlap!$F$9&gt;10,Karakterlap!$F$9-10,0))+7+((VLOOKUP(L109,Karakterlap!$P$3:$Z$4,10,FALSE)-1)*6),"más kaszt")</f>
        <v>más kaszt</v>
      </c>
      <c r="BA109">
        <f>IFERROR(IF(Karakterlap!$P$6&gt;13,190001+((Karakterlap!$P$6-13)*55000),190001),190001)</f>
        <v>190001</v>
      </c>
      <c r="BB109" s="36">
        <f>VLOOKUP("2k6+6",$I$2:$J$11,2,FALSE)+IFERROR(VLOOKUP(Karakterlap!$V$7,$A$24:$C$33,3,FALSE),0)</f>
        <v>13</v>
      </c>
      <c r="BC109" s="36">
        <f>VLOOKUP("k6+12",$I$2:$J$11,2,FALSE)+IFERROR(VLOOKUP(Karakterlap!$V$7,$A$24:$I$33,9,FALSE),0)</f>
        <v>16</v>
      </c>
      <c r="BD109" s="36">
        <f>VLOOKUP("2k6+6",$I$2:$J$11,2,FALSE)+IFERROR(VLOOKUP(Karakterlap!$V$7,$A$24:$D$33,4,FALSE),0)</f>
        <v>13</v>
      </c>
      <c r="BE109" s="36">
        <f>VLOOKUP("2k6+6",$I$2:$J$11,2,FALSE)+IFERROR(VLOOKUP(Karakterlap!$V$7,$A$24:$D$33,4,FALSE),0)</f>
        <v>13</v>
      </c>
      <c r="BF109" s="36">
        <f>VLOOKUP("3k6(2x)",$I$2:$J$11,2,FALSE)+IFERROR(VLOOKUP(Karakterlap!$V$7,$A$24:$E$33,5,FALSE),0)</f>
        <v>11</v>
      </c>
      <c r="BG109" s="36">
        <f>VLOOKUP("3k6(2x)",$I$2:$J$11,2,FALSE)+IFERROR(VLOOKUP(Karakterlap!$V$7,$A$24:$E$33,5,FALSE),0)</f>
        <v>11</v>
      </c>
      <c r="BH109" s="36">
        <f>VLOOKUP("2k6+6",$I$2:$J$11,2,FALSE)+IFERROR(VLOOKUP(Karakterlap!$V$7,$A$24:$I$33,9,FALSE),0)</f>
        <v>13</v>
      </c>
      <c r="BI109" s="36">
        <f>VLOOKUP("k6+12",$I$2:$J$11,2,FALSE)</f>
        <v>16</v>
      </c>
      <c r="BJ109" s="36">
        <f>VLOOKUP("k6+12",$I$2:$J$11,2,FALSE)</f>
        <v>16</v>
      </c>
      <c r="BK109" s="36">
        <f>VLOOKUP("k10+8",$I$2:$J$11,2,FALSE)</f>
        <v>14</v>
      </c>
      <c r="BL109" s="36">
        <f>IF((SUM(Karakterlap!$F$3:$F$12)-SUM(BB109:BK109))&lt;0,0,SUM(Karakterlap!$F$3:$F$12)-SUM(BB109:BK109))</f>
        <v>0</v>
      </c>
      <c r="BM109" s="5" t="e">
        <f>IF(Karakterlap!$F$3&gt;(18+IFERROR(VLOOKUP(Karakterlap!$V$7,$A$24:$C$33,3,FALSE),0)),Karakterlap!$F$3-(18+IFERROR(VLOOKUP(Karakterlap!$V$7,$A$24:$C$33,3,FALSE),0)),0)+IF(Karakterlap!$F$4&gt;(18+IFERROR(VLOOKUP(Karakterlap!$V$7,$A$24:$D$33,4,FALSE),0)),Karakterlap!$F$4-(18+IFERROR(VLOOKUP(Karakterlap!$V$7,$A$24:$D$33,4,FALSE),0)),0)+IF(Karakterlap!$F$5&gt;(18+IFERROR(VLOOKUP(Karakterlap!$V$7,$A$24:$E$33,5,FALSE),0)),(Karakterlap!$F$5-(18+IFERROR(VLOOKUP(Karakterlap!$V$7,$A$24:$E$33,5,FALSE),0))),0)+IF(Karakterlap!$F$6&gt;(18+IFERROR(VLOOKUP(Karakterlap!$V$7,$A$24:$F$33,6,FALSE),0)),(Karakterlap!$F$6-(18+IFERROR(VLOOKUP(Karakterlap!$V$7,$A$24:$F$33,6,FALSE),0))),0)+IF(Karakterlap!$F$7&gt;(18+IFERROR(VLOOKUP(Karakterlap!$V$7,$A$24:$G$33,7,FALSE),0)),(Karakterlap!$F$7-(18+IFERROR(VLOOKUP(Karakterlap!$V$7,$A$24:$G$33,7,FALSE),0))),0)+IF(Karakterlap!$F$8&gt;(18+IFERROR(VLOOKUP(Karakterlap!$V$7,$A$24:$H$33,8,FALSE),0)),(Karakterlap!$F$8-(18+IFERROR(VLOOKUP(Karakterlap!$V$7,$A$24:$H$33,8,FALSE),0))),0)+IF(Karakterlap!$F$9&gt;(18+IFERROR(VLOOKUP(Karakterlap!$V$7,$A$24:$I$33,9,FALSE),0)),(Karakterlap!$F$9-(18+IFERROR(VLOOKUP(Karakterlap!$V$7,$A$24:$I$33,9,FALSE),0))),0)+IF(Karakterlap!$F$10&gt;18,IF((Karakterlap!$F$10-IF(BI109&gt;18,BI109,18))&gt;0,Karakterlap!$F$10-IF(BI109&gt;18,BI109,18),0),0)+IF(Karakterlap!$F$11&gt;(18+IFERROR(VLOOKUP(Karakterlap!$V$7,$A$24:$J$33,10,FALSE),0)),(Karakterlap!$F$11-(18+IFERROR(VLOOKUP(Karakterlap!$V$7,$A$24:$J$33,10,FALSE),0))),0)+IF(Karakterlap!$F$12&gt;18,IF((Karakterlap!$F$12-IF(BK109&gt;18,BK109,18))&gt;0,Karakterlap!$F$12-IF(BK109&gt;18,BK109,18),0),0)</f>
        <v>#VALUE!</v>
      </c>
      <c r="BT109" t="s">
        <v>977</v>
      </c>
      <c r="BW109" s="5"/>
      <c r="BX109" s="97" t="s">
        <v>189</v>
      </c>
      <c r="BY109" s="97" t="s">
        <v>192</v>
      </c>
      <c r="BZ109" s="97" t="s">
        <v>189</v>
      </c>
      <c r="CA109" s="97" t="s">
        <v>189</v>
      </c>
      <c r="CB109" s="97" t="s">
        <v>187</v>
      </c>
      <c r="CC109" s="97" t="s">
        <v>187</v>
      </c>
      <c r="CD109" s="97" t="s">
        <v>189</v>
      </c>
      <c r="CE109" s="97" t="s">
        <v>192</v>
      </c>
      <c r="CF109" s="97" t="s">
        <v>192</v>
      </c>
      <c r="CG109" s="97" t="s">
        <v>190</v>
      </c>
    </row>
  </sheetData>
  <sortState ref="C40:C48">
    <sortCondition ref="C40"/>
  </sortState>
  <mergeCells count="12">
    <mergeCell ref="A20:H20"/>
    <mergeCell ref="A18:B18"/>
    <mergeCell ref="L1:O1"/>
    <mergeCell ref="A17:B17"/>
    <mergeCell ref="A1:B1"/>
    <mergeCell ref="D1:E1"/>
    <mergeCell ref="A15:B15"/>
    <mergeCell ref="A16:B16"/>
    <mergeCell ref="I1:J1"/>
    <mergeCell ref="D5:E5"/>
    <mergeCell ref="E17:F17"/>
    <mergeCell ref="I16:J16"/>
  </mergeCells>
  <conditionalFormatting sqref="BB1:BK14 BB68:BK68 BB16:BK56 BB59:BK66 BB70:BK82 BB85:BK101 BB110:BK1048576 BB103:BK107">
    <cfRule type="containsText" dxfId="11" priority="26" operator="containsText" text="k10">
      <formula>NOT(ISERROR(SEARCH("k10",BB1)))</formula>
    </cfRule>
  </conditionalFormatting>
  <conditionalFormatting sqref="BB15:BK15">
    <cfRule type="containsText" dxfId="10" priority="25" operator="containsText" text="k10">
      <formula>NOT(ISERROR(SEARCH("k10",BB15)))</formula>
    </cfRule>
  </conditionalFormatting>
  <conditionalFormatting sqref="BB69:BK69">
    <cfRule type="containsText" dxfId="9" priority="24" operator="containsText" text="k10">
      <formula>NOT(ISERROR(SEARCH("k10",BB69)))</formula>
    </cfRule>
  </conditionalFormatting>
  <conditionalFormatting sqref="BB67:BK67">
    <cfRule type="containsText" dxfId="8" priority="23" operator="containsText" text="k10">
      <formula>NOT(ISERROR(SEARCH("k10",BB67)))</formula>
    </cfRule>
  </conditionalFormatting>
  <conditionalFormatting sqref="BB57:BK57">
    <cfRule type="containsText" dxfId="7" priority="22" operator="containsText" text="k10">
      <formula>NOT(ISERROR(SEARCH("k10",BB57)))</formula>
    </cfRule>
  </conditionalFormatting>
  <conditionalFormatting sqref="BB58:BK58">
    <cfRule type="containsText" dxfId="6" priority="21" operator="containsText" text="k10">
      <formula>NOT(ISERROR(SEARCH("k10",BB58)))</formula>
    </cfRule>
  </conditionalFormatting>
  <conditionalFormatting sqref="BB83:BK83">
    <cfRule type="containsText" dxfId="5" priority="20" operator="containsText" text="k10">
      <formula>NOT(ISERROR(SEARCH("k10",BB83)))</formula>
    </cfRule>
  </conditionalFormatting>
  <conditionalFormatting sqref="BB84:BK84">
    <cfRule type="containsText" dxfId="4" priority="19" operator="containsText" text="k10">
      <formula>NOT(ISERROR(SEARCH("k10",BB84)))</formula>
    </cfRule>
  </conditionalFormatting>
  <conditionalFormatting sqref="BB102:BK102">
    <cfRule type="containsText" dxfId="3" priority="18" operator="containsText" text="k10">
      <formula>NOT(ISERROR(SEARCH("k10",BB102)))</formula>
    </cfRule>
  </conditionalFormatting>
  <conditionalFormatting sqref="BB108:BK108">
    <cfRule type="containsText" dxfId="2" priority="17" operator="containsText" text="k10">
      <formula>NOT(ISERROR(SEARCH("k10",BB108)))</formula>
    </cfRule>
  </conditionalFormatting>
  <conditionalFormatting sqref="BB109:BK109">
    <cfRule type="containsText" dxfId="1" priority="16" operator="containsText" text="k10">
      <formula>NOT(ISERROR(SEARCH("k10",BB109)))</formula>
    </cfRule>
  </conditionalFormatting>
  <conditionalFormatting sqref="BX1:CG1">
    <cfRule type="containsText" dxfId="0" priority="15" operator="containsText" text="k10">
      <formula>NOT(ISERROR(SEARCH("k10",BX1)))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9" enableFormatConditionsCalculation="0"/>
  <dimension ref="A1:AJ17"/>
  <sheetViews>
    <sheetView workbookViewId="0">
      <selection activeCell="U22" sqref="U22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659</v>
      </c>
      <c r="K2" s="147"/>
      <c r="L2" s="147"/>
      <c r="M2" s="147"/>
      <c r="N2" s="147"/>
      <c r="O2" s="147"/>
      <c r="P2" s="21"/>
      <c r="Q2" s="23" t="s">
        <v>642</v>
      </c>
      <c r="R2" s="146" t="s">
        <v>649</v>
      </c>
      <c r="S2" s="147"/>
      <c r="T2" s="147"/>
      <c r="U2" s="147"/>
      <c r="V2" s="147"/>
      <c r="W2" s="147"/>
      <c r="X2" s="21"/>
      <c r="Y2" s="147" t="str">
        <f>IF(Karakterlap!$Y$3&gt;2,"Mf","Af")</f>
        <v>Af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708</v>
      </c>
      <c r="B3" s="147"/>
      <c r="C3" s="147"/>
      <c r="D3" s="147"/>
      <c r="E3" s="147"/>
      <c r="F3" s="147"/>
      <c r="G3" s="21"/>
      <c r="H3" s="147" t="str">
        <f>IF(Karakterlap!$Y$3&gt;2,"Mf","Af")</f>
        <v>Af</v>
      </c>
      <c r="I3" s="174"/>
      <c r="J3" s="146" t="s">
        <v>646</v>
      </c>
      <c r="K3" s="147"/>
      <c r="L3" s="147"/>
      <c r="M3" s="147"/>
      <c r="N3" s="147"/>
      <c r="O3" s="147"/>
      <c r="P3" s="21"/>
      <c r="Q3" s="23" t="str">
        <f>IF(Karakterlap!$Y$3&gt;1,"Mf","Af")</f>
        <v>Af</v>
      </c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5</v>
      </c>
      <c r="AJ3" s="174"/>
    </row>
    <row r="4" spans="1:36" x14ac:dyDescent="0.2">
      <c r="A4" s="146" t="str">
        <f>IF(Karakterlap!$Y$3&gt;3,"célzás","")</f>
        <v/>
      </c>
      <c r="B4" s="147"/>
      <c r="C4" s="147"/>
      <c r="D4" s="147"/>
      <c r="E4" s="147"/>
      <c r="F4" s="147"/>
      <c r="G4" s="21"/>
      <c r="H4" s="147" t="str">
        <f>IF(Karakterlap!$Y$3&gt;3,"Mf","")</f>
        <v/>
      </c>
      <c r="I4" s="174"/>
      <c r="J4" s="146" t="s">
        <v>662</v>
      </c>
      <c r="K4" s="147"/>
      <c r="L4" s="147"/>
      <c r="M4" s="147"/>
      <c r="N4" s="147"/>
      <c r="O4" s="147"/>
      <c r="P4" s="21"/>
      <c r="Q4" s="23" t="str">
        <f>IF(Karakterlap!$Y$3&gt;5,"Mf","Af")</f>
        <v>Af</v>
      </c>
      <c r="R4" s="146" t="s">
        <v>648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>
        <v>3</v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 t="s">
        <v>647</v>
      </c>
      <c r="K5" s="147"/>
      <c r="L5" s="147"/>
      <c r="M5" s="147"/>
      <c r="N5" s="147"/>
      <c r="O5" s="147"/>
      <c r="P5" s="21"/>
      <c r="Q5" s="23" t="str">
        <f>IF(Karakterlap!$Y$3&gt;4,"Mf","Af")</f>
        <v>Af</v>
      </c>
      <c r="R5" s="146" t="s">
        <v>653</v>
      </c>
      <c r="S5" s="147"/>
      <c r="T5" s="147"/>
      <c r="U5" s="147"/>
      <c r="V5" s="147"/>
      <c r="W5" s="147"/>
      <c r="X5" s="21"/>
      <c r="Y5" s="147" t="s">
        <v>652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>
        <v>3</v>
      </c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705</v>
      </c>
      <c r="K6" s="147"/>
      <c r="L6" s="147"/>
      <c r="M6" s="147"/>
      <c r="N6" s="147"/>
      <c r="O6" s="147"/>
      <c r="P6" s="21"/>
      <c r="Q6" s="23" t="str">
        <f>IF(Karakterlap!$Y$3&gt;3,"Mf","Af")</f>
        <v>Af</v>
      </c>
      <c r="R6" s="146" t="s">
        <v>709</v>
      </c>
      <c r="S6" s="147"/>
      <c r="T6" s="147"/>
      <c r="U6" s="147"/>
      <c r="V6" s="147"/>
      <c r="W6" s="147"/>
      <c r="X6" s="21"/>
      <c r="Y6" s="147" t="s">
        <v>642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 t="str">
        <f>IF(Karakterlap!$Y$3&gt;3,"etikett","")</f>
        <v/>
      </c>
      <c r="S7" s="147"/>
      <c r="T7" s="147"/>
      <c r="U7" s="147"/>
      <c r="V7" s="147"/>
      <c r="W7" s="147"/>
      <c r="X7" s="21"/>
      <c r="Y7" s="147" t="str">
        <f>IF(Karakterlap!$Y$3&gt;3,"Af","")</f>
        <v/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0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789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659</v>
      </c>
      <c r="K2" s="147"/>
      <c r="L2" s="147"/>
      <c r="M2" s="147"/>
      <c r="N2" s="147"/>
      <c r="O2" s="147"/>
      <c r="P2" s="21"/>
      <c r="Q2" s="23" t="s">
        <v>642</v>
      </c>
      <c r="R2" s="146"/>
      <c r="S2" s="147"/>
      <c r="T2" s="147"/>
      <c r="U2" s="147"/>
      <c r="V2" s="147"/>
      <c r="W2" s="147"/>
      <c r="X2" s="21"/>
      <c r="Y2" s="147"/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710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711</v>
      </c>
      <c r="K3" s="147"/>
      <c r="L3" s="147"/>
      <c r="M3" s="147"/>
      <c r="N3" s="147"/>
      <c r="O3" s="147"/>
      <c r="P3" s="21"/>
      <c r="Q3" s="23" t="s">
        <v>642</v>
      </c>
      <c r="R3" s="146"/>
      <c r="S3" s="147"/>
      <c r="T3" s="147"/>
      <c r="U3" s="147"/>
      <c r="V3" s="147"/>
      <c r="W3" s="147"/>
      <c r="X3" s="21"/>
      <c r="Y3" s="147"/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676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712</v>
      </c>
      <c r="K4" s="147"/>
      <c r="L4" s="147"/>
      <c r="M4" s="147"/>
      <c r="N4" s="147"/>
      <c r="O4" s="147"/>
      <c r="P4" s="21"/>
      <c r="Q4" s="23" t="s">
        <v>642</v>
      </c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669</v>
      </c>
      <c r="B5" s="147"/>
      <c r="C5" s="147"/>
      <c r="D5" s="147"/>
      <c r="E5" s="147"/>
      <c r="F5" s="147"/>
      <c r="G5" s="21"/>
      <c r="H5" s="147" t="s">
        <v>642</v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657</v>
      </c>
      <c r="B6" s="147"/>
      <c r="C6" s="147"/>
      <c r="D6" s="147"/>
      <c r="E6" s="147"/>
      <c r="F6" s="147"/>
      <c r="G6" s="21"/>
      <c r="H6" s="147" t="s">
        <v>642</v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1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789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659</v>
      </c>
      <c r="K2" s="147"/>
      <c r="L2" s="147"/>
      <c r="M2" s="147"/>
      <c r="N2" s="147"/>
      <c r="O2" s="147"/>
      <c r="P2" s="21"/>
      <c r="Q2" s="23" t="s">
        <v>642</v>
      </c>
      <c r="R2" s="146" t="s">
        <v>714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710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711</v>
      </c>
      <c r="K3" s="147"/>
      <c r="L3" s="147"/>
      <c r="M3" s="147"/>
      <c r="N3" s="147"/>
      <c r="O3" s="147"/>
      <c r="P3" s="21"/>
      <c r="Q3" s="23" t="s">
        <v>642</v>
      </c>
      <c r="R3" s="146" t="s">
        <v>715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676</v>
      </c>
      <c r="B4" s="147"/>
      <c r="C4" s="147"/>
      <c r="D4" s="147"/>
      <c r="E4" s="147"/>
      <c r="F4" s="147"/>
      <c r="G4" s="21"/>
      <c r="H4" s="147" t="s">
        <v>652</v>
      </c>
      <c r="I4" s="174"/>
      <c r="J4" s="146" t="s">
        <v>712</v>
      </c>
      <c r="K4" s="147"/>
      <c r="L4" s="147"/>
      <c r="M4" s="147"/>
      <c r="N4" s="147"/>
      <c r="O4" s="147"/>
      <c r="P4" s="21"/>
      <c r="Q4" s="23" t="s">
        <v>642</v>
      </c>
      <c r="R4" s="146" t="s">
        <v>716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669</v>
      </c>
      <c r="B5" s="147"/>
      <c r="C5" s="147"/>
      <c r="D5" s="147"/>
      <c r="E5" s="147"/>
      <c r="F5" s="147"/>
      <c r="G5" s="21"/>
      <c r="H5" s="147" t="s">
        <v>652</v>
      </c>
      <c r="I5" s="174"/>
      <c r="J5" s="146" t="s">
        <v>660</v>
      </c>
      <c r="K5" s="147"/>
      <c r="L5" s="147"/>
      <c r="M5" s="147"/>
      <c r="N5" s="147"/>
      <c r="O5" s="147"/>
      <c r="P5" s="21"/>
      <c r="Q5" s="23" t="s">
        <v>652</v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657</v>
      </c>
      <c r="B6" s="147"/>
      <c r="C6" s="147"/>
      <c r="D6" s="147"/>
      <c r="E6" s="147"/>
      <c r="F6" s="147"/>
      <c r="G6" s="21"/>
      <c r="H6" s="147" t="s">
        <v>652</v>
      </c>
      <c r="I6" s="174"/>
      <c r="J6" s="146" t="s">
        <v>662</v>
      </c>
      <c r="K6" s="147"/>
      <c r="L6" s="147"/>
      <c r="M6" s="147"/>
      <c r="N6" s="147"/>
      <c r="O6" s="147"/>
      <c r="P6" s="21"/>
      <c r="Q6" s="23" t="s">
        <v>642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 t="s">
        <v>671</v>
      </c>
      <c r="B7" s="147"/>
      <c r="C7" s="147"/>
      <c r="D7" s="147"/>
      <c r="E7" s="147"/>
      <c r="F7" s="147"/>
      <c r="G7" s="21"/>
      <c r="H7" s="147" t="s">
        <v>642</v>
      </c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2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718</v>
      </c>
      <c r="B2" s="147"/>
      <c r="C2" s="147"/>
      <c r="D2" s="147"/>
      <c r="E2" s="147"/>
      <c r="F2" s="147"/>
      <c r="G2" s="21"/>
      <c r="H2" s="147" t="str">
        <f>IF(Karakterlap!$Y$3&gt;3,"Mf","Af")</f>
        <v>Af</v>
      </c>
      <c r="I2" s="174"/>
      <c r="J2" s="146" t="s">
        <v>659</v>
      </c>
      <c r="K2" s="147"/>
      <c r="L2" s="147"/>
      <c r="M2" s="147"/>
      <c r="N2" s="147"/>
      <c r="O2" s="147"/>
      <c r="P2" s="21"/>
      <c r="Q2" s="23" t="s">
        <v>642</v>
      </c>
      <c r="R2" s="146" t="s">
        <v>665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906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660</v>
      </c>
      <c r="K3" s="147"/>
      <c r="L3" s="147"/>
      <c r="M3" s="147"/>
      <c r="N3" s="147"/>
      <c r="O3" s="147"/>
      <c r="P3" s="21"/>
      <c r="Q3" s="23" t="s">
        <v>642</v>
      </c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669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tr">
        <f>IF(Karakterlap!$Y$3&gt;5,"sebgyógyítás","")</f>
        <v/>
      </c>
      <c r="K4" s="147"/>
      <c r="L4" s="147"/>
      <c r="M4" s="147"/>
      <c r="N4" s="147"/>
      <c r="O4" s="147"/>
      <c r="P4" s="21"/>
      <c r="Q4" s="23" t="str">
        <f>IF(Karakterlap!$Y$3&gt;5,"Af","")</f>
        <v/>
      </c>
      <c r="R4" s="146" t="s">
        <v>645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tr">
        <f>IF(Karakterlap!$Y$3&gt;2,"vakharc","")</f>
        <v/>
      </c>
      <c r="B5" s="147"/>
      <c r="C5" s="147"/>
      <c r="D5" s="147"/>
      <c r="E5" s="147"/>
      <c r="F5" s="147"/>
      <c r="G5" s="21"/>
      <c r="H5" s="147" t="str">
        <f>IF(Karakterlap!$Y$3&gt;2,"Af","")</f>
        <v/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tr">
        <f>IF(Karakterlap!$Y$3&gt;4,"lefegyverzés","")</f>
        <v/>
      </c>
      <c r="B6" s="147"/>
      <c r="C6" s="147"/>
      <c r="D6" s="147"/>
      <c r="E6" s="147"/>
      <c r="F6" s="147"/>
      <c r="G6" s="21"/>
      <c r="H6" s="147" t="str">
        <f>IF(Karakterlap!$Y$3&gt;4,"Af","")</f>
        <v/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3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659</v>
      </c>
      <c r="K2" s="147"/>
      <c r="L2" s="147"/>
      <c r="M2" s="147"/>
      <c r="N2" s="147"/>
      <c r="O2" s="147"/>
      <c r="P2" s="21"/>
      <c r="Q2" s="23" t="s">
        <v>642</v>
      </c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720</v>
      </c>
      <c r="B3" s="147"/>
      <c r="C3" s="147"/>
      <c r="D3" s="147"/>
      <c r="E3" s="147"/>
      <c r="F3" s="147"/>
      <c r="G3" s="21"/>
      <c r="H3" s="147" t="s">
        <v>652</v>
      </c>
      <c r="I3" s="174"/>
      <c r="J3" s="146" t="s">
        <v>662</v>
      </c>
      <c r="K3" s="147"/>
      <c r="L3" s="147"/>
      <c r="M3" s="147"/>
      <c r="N3" s="147"/>
      <c r="O3" s="147"/>
      <c r="P3" s="21"/>
      <c r="Q3" s="23" t="s">
        <v>642</v>
      </c>
      <c r="R3" s="146" t="s">
        <v>665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669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705</v>
      </c>
      <c r="K4" s="147"/>
      <c r="L4" s="147"/>
      <c r="M4" s="147"/>
      <c r="N4" s="147"/>
      <c r="O4" s="147"/>
      <c r="P4" s="21"/>
      <c r="Q4" s="23" t="s">
        <v>642</v>
      </c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699</v>
      </c>
      <c r="B5" s="147"/>
      <c r="C5" s="147"/>
      <c r="D5" s="147"/>
      <c r="E5" s="147"/>
      <c r="F5" s="147"/>
      <c r="G5" s="21"/>
      <c r="H5" s="147" t="s">
        <v>642</v>
      </c>
      <c r="I5" s="174"/>
      <c r="J5" s="146" t="str">
        <f>IF(Karakterlap!$Y$3&gt;2,"méregkeverés/seml.","")</f>
        <v/>
      </c>
      <c r="K5" s="147"/>
      <c r="L5" s="147"/>
      <c r="M5" s="147"/>
      <c r="N5" s="147"/>
      <c r="O5" s="147"/>
      <c r="P5" s="21"/>
      <c r="Q5" s="23" t="str">
        <f>IF(Karakterlap!$Y$3&gt;2,"Af","")</f>
        <v/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tr">
        <f>IF(Karakterlap!$Y$3&gt;4,"lefegyverzés","")</f>
        <v/>
      </c>
      <c r="B6" s="147"/>
      <c r="C6" s="147"/>
      <c r="D6" s="147"/>
      <c r="E6" s="147"/>
      <c r="F6" s="147"/>
      <c r="G6" s="21"/>
      <c r="H6" s="147" t="str">
        <f>IF(Karakterlap!$Y$3&gt;4,"Af","")</f>
        <v/>
      </c>
      <c r="I6" s="174"/>
      <c r="J6" s="146" t="str">
        <f>IF(Karakterlap!$Y$3&gt;2,"heraldika","")</f>
        <v/>
      </c>
      <c r="K6" s="147"/>
      <c r="L6" s="147"/>
      <c r="M6" s="147"/>
      <c r="N6" s="147"/>
      <c r="O6" s="147"/>
      <c r="P6" s="21"/>
      <c r="Q6" s="23" t="str">
        <f>IF(Karakterlap!$Y$3&gt;2,"Af","")</f>
        <v/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4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789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659</v>
      </c>
      <c r="K2" s="147"/>
      <c r="L2" s="147"/>
      <c r="M2" s="147"/>
      <c r="N2" s="147"/>
      <c r="O2" s="147"/>
      <c r="P2" s="21"/>
      <c r="Q2" s="23" t="s">
        <v>642</v>
      </c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710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660</v>
      </c>
      <c r="K3" s="147"/>
      <c r="L3" s="147"/>
      <c r="M3" s="147"/>
      <c r="N3" s="147"/>
      <c r="O3" s="147"/>
      <c r="P3" s="21"/>
      <c r="Q3" s="23" t="s">
        <v>642</v>
      </c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669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tr">
        <f>IF(Karakterlap!$Y$3&gt;1,"mágiaismeret (BM)","")</f>
        <v/>
      </c>
      <c r="K4" s="147"/>
      <c r="L4" s="147"/>
      <c r="M4" s="147"/>
      <c r="N4" s="147"/>
      <c r="O4" s="147"/>
      <c r="P4" s="21"/>
      <c r="Q4" s="23" t="str">
        <f>IF(Karakterlap!$Y$3&gt;1,"Af","")</f>
        <v/>
      </c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tr">
        <f>IF(Karakterlap!$Y$3&gt;4,"fegyverhasználat","")</f>
        <v/>
      </c>
      <c r="B5" s="147"/>
      <c r="C5" s="147"/>
      <c r="D5" s="147"/>
      <c r="E5" s="147"/>
      <c r="F5" s="147"/>
      <c r="G5" s="21"/>
      <c r="H5" s="147" t="str">
        <f>IF(Karakterlap!$Y$3&gt;4,"Mf","")</f>
        <v/>
      </c>
      <c r="I5" s="174"/>
      <c r="J5" s="146" t="str">
        <f>IF(Karakterlap!$Y$3&gt;2,"sebgyógyítás","")</f>
        <v/>
      </c>
      <c r="K5" s="147"/>
      <c r="L5" s="147"/>
      <c r="M5" s="147"/>
      <c r="N5" s="147"/>
      <c r="O5" s="147"/>
      <c r="P5" s="21"/>
      <c r="Q5" s="23" t="str">
        <f>IF(Karakterlap!$Y$3&gt;2,"Af","")</f>
        <v/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tr">
        <f>IF(Karakterlap!$Y$3&gt;5,"méregkeverés","")</f>
        <v/>
      </c>
      <c r="K6" s="147"/>
      <c r="L6" s="147"/>
      <c r="M6" s="147"/>
      <c r="N6" s="147"/>
      <c r="O6" s="147"/>
      <c r="P6" s="21"/>
      <c r="Q6" s="23" t="str">
        <f>IF(Karakterlap!$Y$3&gt;5,"Af","")</f>
        <v/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 t="str">
        <f>IF(Karakterlap!$Y$3&gt;3,"hátbaszúrás","")</f>
        <v/>
      </c>
      <c r="K12" s="147"/>
      <c r="L12" s="147"/>
      <c r="M12" s="147"/>
      <c r="N12" s="147"/>
      <c r="O12" s="147"/>
      <c r="P12" s="21"/>
      <c r="Q12" s="23" t="str">
        <f>IF(Karakterlap!$Y$3&gt;3,"Af","")</f>
        <v/>
      </c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 t="str">
        <f>IF(Karakterlap!$Y$3&gt;6,"kötelékből szabadulás","")</f>
        <v/>
      </c>
      <c r="K13" s="147"/>
      <c r="L13" s="147"/>
      <c r="M13" s="147"/>
      <c r="N13" s="147"/>
      <c r="O13" s="147"/>
      <c r="P13" s="21"/>
      <c r="Q13" s="23" t="str">
        <f>IF(Karakterlap!$Y$3&gt;6,"Af","")</f>
        <v/>
      </c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 t="str">
        <f>IF(Karakterlap!$Y$3&gt;7,"álcázás/álruha","")</f>
        <v/>
      </c>
      <c r="K14" s="147"/>
      <c r="L14" s="147"/>
      <c r="M14" s="147"/>
      <c r="N14" s="147"/>
      <c r="O14" s="147"/>
      <c r="P14" s="21"/>
      <c r="Q14" s="23" t="str">
        <f>IF(Karakterlap!$Y$3&gt;7,"Af","")</f>
        <v/>
      </c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5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905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659</v>
      </c>
      <c r="K2" s="147"/>
      <c r="L2" s="147"/>
      <c r="M2" s="147"/>
      <c r="N2" s="147"/>
      <c r="O2" s="147"/>
      <c r="P2" s="21"/>
      <c r="Q2" s="23" t="s">
        <v>642</v>
      </c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677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661</v>
      </c>
      <c r="K3" s="147"/>
      <c r="L3" s="147"/>
      <c r="M3" s="147"/>
      <c r="N3" s="147"/>
      <c r="O3" s="147"/>
      <c r="P3" s="21"/>
      <c r="Q3" s="23" t="s">
        <v>642</v>
      </c>
      <c r="R3" s="146" t="s">
        <v>665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tr">
        <f>IF(Karakterlap!$Y$3&gt;3,"pajzshasználat","")</f>
        <v/>
      </c>
      <c r="B4" s="147"/>
      <c r="C4" s="147"/>
      <c r="D4" s="147"/>
      <c r="E4" s="147"/>
      <c r="F4" s="147"/>
      <c r="G4" s="21"/>
      <c r="H4" s="147" t="str">
        <f>IF(Karakterlap!$Y$3&gt;3,"Af","")</f>
        <v/>
      </c>
      <c r="I4" s="174"/>
      <c r="J4" s="146"/>
      <c r="K4" s="147"/>
      <c r="L4" s="147"/>
      <c r="M4" s="147"/>
      <c r="N4" s="147"/>
      <c r="O4" s="147"/>
      <c r="P4" s="21"/>
      <c r="Q4" s="23"/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tr">
        <f>IF(Karakterlap!$Y$3&gt;4,"hadvezetés","")</f>
        <v/>
      </c>
      <c r="B5" s="147"/>
      <c r="C5" s="147"/>
      <c r="D5" s="147"/>
      <c r="E5" s="147"/>
      <c r="F5" s="147"/>
      <c r="G5" s="21"/>
      <c r="H5" s="147" t="str">
        <f>IF(Karakterlap!$Y$3&gt;4,"Af","")</f>
        <v/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6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789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/>
      <c r="K2" s="147"/>
      <c r="L2" s="147"/>
      <c r="M2" s="147"/>
      <c r="N2" s="147"/>
      <c r="O2" s="147"/>
      <c r="P2" s="21"/>
      <c r="Q2" s="23"/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676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/>
      <c r="K3" s="147"/>
      <c r="L3" s="147"/>
      <c r="M3" s="147"/>
      <c r="N3" s="147"/>
      <c r="O3" s="147"/>
      <c r="P3" s="21"/>
      <c r="Q3" s="23"/>
      <c r="R3" s="146"/>
      <c r="S3" s="147"/>
      <c r="T3" s="147"/>
      <c r="U3" s="147"/>
      <c r="V3" s="147"/>
      <c r="W3" s="147"/>
      <c r="X3" s="21"/>
      <c r="Y3" s="147"/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tr">
        <f>IF(Karakterlap!$Y$3&gt;3,"fegy.hasz. (számszeríj)","")</f>
        <v/>
      </c>
      <c r="B4" s="147"/>
      <c r="C4" s="147"/>
      <c r="D4" s="147"/>
      <c r="E4" s="147"/>
      <c r="F4" s="147"/>
      <c r="G4" s="21"/>
      <c r="H4" s="147" t="str">
        <f>IF(Karakterlap!$Y$3&gt;3,"Mf","")</f>
        <v/>
      </c>
      <c r="I4" s="174"/>
      <c r="J4" s="146"/>
      <c r="K4" s="147"/>
      <c r="L4" s="147"/>
      <c r="M4" s="147"/>
      <c r="N4" s="147"/>
      <c r="O4" s="147"/>
      <c r="P4" s="21"/>
      <c r="Q4" s="23"/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tr">
        <f>IF(Karakterlap!$Y$3&gt;5,"hadvezetés","")</f>
        <v/>
      </c>
      <c r="B5" s="147"/>
      <c r="C5" s="147"/>
      <c r="D5" s="147"/>
      <c r="E5" s="147"/>
      <c r="F5" s="147"/>
      <c r="G5" s="21"/>
      <c r="H5" s="147" t="str">
        <f>IF(Karakterlap!$Y$3&gt;5,"Af","")</f>
        <v/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7" enableFormatConditionsCalculation="0"/>
  <dimension ref="A1:AJ17"/>
  <sheetViews>
    <sheetView workbookViewId="0">
      <selection activeCell="A12" sqref="A12:I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646</v>
      </c>
      <c r="K2" s="147"/>
      <c r="L2" s="147"/>
      <c r="M2" s="147"/>
      <c r="N2" s="147"/>
      <c r="O2" s="147"/>
      <c r="P2" s="21"/>
      <c r="Q2" s="23" t="str">
        <f>IF(Karakterlap!$Y$3&gt;4,"Mf","Af")</f>
        <v>Af</v>
      </c>
      <c r="R2" s="146" t="s">
        <v>725</v>
      </c>
      <c r="S2" s="147"/>
      <c r="T2" s="147"/>
      <c r="U2" s="147"/>
      <c r="V2" s="147"/>
      <c r="W2" s="147"/>
      <c r="X2" s="21"/>
      <c r="Y2" s="147" t="str">
        <f>IF(Karakterlap!$Y$3&gt;5,"Mf","Af")</f>
        <v>Af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670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tr">
        <f>IF(Karakterlap!$Y$3&gt;3,"térképészet","")</f>
        <v/>
      </c>
      <c r="K3" s="147"/>
      <c r="L3" s="147"/>
      <c r="M3" s="147"/>
      <c r="N3" s="147"/>
      <c r="O3" s="147"/>
      <c r="P3" s="21"/>
      <c r="Q3" s="23" t="str">
        <f>IF(Karakterlap!$Y$3&gt;3,"Af","")</f>
        <v/>
      </c>
      <c r="R3" s="146" t="s">
        <v>644</v>
      </c>
      <c r="S3" s="147"/>
      <c r="T3" s="147"/>
      <c r="U3" s="147"/>
      <c r="V3" s="147"/>
      <c r="W3" s="147"/>
      <c r="X3" s="21"/>
      <c r="Y3" s="147" t="str">
        <f>IF(Karakterlap!$Y$3&gt;5,"Mf","Af")</f>
        <v>Af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tr">
        <f>IF(Karakterlap!$Y$3&gt;2,"hadvezetés (tengeren)","")</f>
        <v/>
      </c>
      <c r="B4" s="147"/>
      <c r="C4" s="147"/>
      <c r="D4" s="147"/>
      <c r="E4" s="147"/>
      <c r="F4" s="147"/>
      <c r="G4" s="21"/>
      <c r="H4" s="147" t="str">
        <f>IF(Karakterlap!$Y$3&gt;7,"Mf",IF(Karakterlap!$Y$3&gt;2,"Af",""))</f>
        <v/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709</v>
      </c>
      <c r="S4" s="147"/>
      <c r="T4" s="147"/>
      <c r="U4" s="147"/>
      <c r="V4" s="147"/>
      <c r="W4" s="147"/>
      <c r="X4" s="21"/>
      <c r="Y4" s="147" t="str">
        <f>IF(Karakterlap!$Y$3&gt;2,"Mf","Af")</f>
        <v>Af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/>
      <c r="K5" s="147"/>
      <c r="L5" s="147"/>
      <c r="M5" s="147"/>
      <c r="N5" s="147"/>
      <c r="O5" s="147"/>
      <c r="P5" s="21"/>
      <c r="Q5" s="23"/>
      <c r="R5" s="146" t="s">
        <v>726</v>
      </c>
      <c r="S5" s="147"/>
      <c r="T5" s="147"/>
      <c r="U5" s="147"/>
      <c r="V5" s="147"/>
      <c r="W5" s="147"/>
      <c r="X5" s="21"/>
      <c r="Y5" s="147" t="str">
        <f>IF(Karakterlap!$Y$3&gt;6,"Mf","Af")</f>
        <v>Af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/>
      <c r="K13" s="147"/>
      <c r="L13" s="147"/>
      <c r="M13" s="147"/>
      <c r="N13" s="147"/>
      <c r="O13" s="147"/>
      <c r="P13" s="21"/>
      <c r="Q13" s="23"/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/>
      <c r="K14" s="147"/>
      <c r="L14" s="147"/>
      <c r="M14" s="147"/>
      <c r="N14" s="147"/>
      <c r="O14" s="147"/>
      <c r="P14" s="21"/>
      <c r="Q14" s="23"/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/>
      <c r="K15" s="147"/>
      <c r="L15" s="147"/>
      <c r="M15" s="147"/>
      <c r="N15" s="147"/>
      <c r="O15" s="147"/>
      <c r="P15" s="21"/>
      <c r="Q15" s="23"/>
      <c r="R15" s="146"/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/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8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907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/>
      <c r="K2" s="147"/>
      <c r="L2" s="147"/>
      <c r="M2" s="147"/>
      <c r="N2" s="147"/>
      <c r="O2" s="147"/>
      <c r="P2" s="21"/>
      <c r="Q2" s="23"/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669</v>
      </c>
      <c r="B3" s="147"/>
      <c r="C3" s="147"/>
      <c r="D3" s="147"/>
      <c r="E3" s="147"/>
      <c r="F3" s="147"/>
      <c r="G3" s="21"/>
      <c r="H3" s="147" t="str">
        <f>IF(Karakterlap!$Y$3&gt;2,"Mf","Af")</f>
        <v>Af</v>
      </c>
      <c r="I3" s="174"/>
      <c r="J3" s="146"/>
      <c r="K3" s="147"/>
      <c r="L3" s="147"/>
      <c r="M3" s="147"/>
      <c r="N3" s="147"/>
      <c r="O3" s="147"/>
      <c r="P3" s="21"/>
      <c r="Q3" s="23"/>
      <c r="R3" s="146" t="s">
        <v>645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676</v>
      </c>
      <c r="B4" s="147"/>
      <c r="C4" s="147"/>
      <c r="D4" s="147"/>
      <c r="E4" s="147"/>
      <c r="F4" s="147"/>
      <c r="G4" s="21"/>
      <c r="H4" s="147" t="str">
        <f>IF(Karakterlap!$Y$3&gt;7,"Mf","Af")</f>
        <v>Af</v>
      </c>
      <c r="I4" s="174"/>
      <c r="J4" s="146"/>
      <c r="K4" s="147"/>
      <c r="L4" s="147"/>
      <c r="M4" s="147"/>
      <c r="N4" s="147"/>
      <c r="O4" s="147"/>
      <c r="P4" s="21"/>
      <c r="Q4" s="23"/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699</v>
      </c>
      <c r="B5" s="147"/>
      <c r="C5" s="147"/>
      <c r="D5" s="147"/>
      <c r="E5" s="147"/>
      <c r="F5" s="147"/>
      <c r="G5" s="21"/>
      <c r="H5" s="147" t="str">
        <f>IF(Karakterlap!$Y$3&gt;4,"Mf","Af")</f>
        <v>Af</v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tr">
        <f>IF(Karakterlap!$Y$3&gt;3,"fegyverhasználat","")</f>
        <v/>
      </c>
      <c r="B6" s="147"/>
      <c r="C6" s="147"/>
      <c r="D6" s="147"/>
      <c r="E6" s="147"/>
      <c r="F6" s="147"/>
      <c r="G6" s="21"/>
      <c r="H6" s="147" t="str">
        <f>IF(Karakterlap!$Y$3&gt;3,"Mf","")</f>
        <v/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 t="str">
        <f>IF(Karakterlap!$Y$3&gt;5,"hadvezetés (lovasság)","")</f>
        <v/>
      </c>
      <c r="B7" s="147"/>
      <c r="C7" s="147"/>
      <c r="D7" s="147"/>
      <c r="E7" s="147"/>
      <c r="F7" s="147"/>
      <c r="G7" s="21"/>
      <c r="H7" s="147" t="str">
        <f>IF(Karakterlap!$Y$3&gt;5,"Af","")</f>
        <v/>
      </c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 t="str">
        <f>IF(Karakterlap!$Y$3&gt;8,"fegyverhasználat","")</f>
        <v/>
      </c>
      <c r="B8" s="147"/>
      <c r="C8" s="147"/>
      <c r="D8" s="147"/>
      <c r="E8" s="147"/>
      <c r="F8" s="147"/>
      <c r="G8" s="21"/>
      <c r="H8" s="147" t="str">
        <f>IF(Karakterlap!$Y$3&gt;8,"Mf","")</f>
        <v/>
      </c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 enableFormatConditionsCalculation="0"/>
  <dimension ref="A1:Q1901"/>
  <sheetViews>
    <sheetView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Q169" sqref="Q169:R169"/>
    </sheetView>
  </sheetViews>
  <sheetFormatPr baseColWidth="10" defaultColWidth="8.83203125" defaultRowHeight="15" x14ac:dyDescent="0.2"/>
  <cols>
    <col min="1" max="1" width="21.6640625" customWidth="1"/>
    <col min="2" max="2" width="10.5" style="15" customWidth="1"/>
    <col min="3" max="3" width="6.5" customWidth="1"/>
    <col min="4" max="4" width="4.33203125" customWidth="1"/>
    <col min="5" max="5" width="5.83203125" bestFit="1" customWidth="1"/>
    <col min="6" max="6" width="5.5" bestFit="1" customWidth="1"/>
    <col min="7" max="7" width="15.33203125" bestFit="1" customWidth="1"/>
    <col min="8" max="8" width="8.33203125" customWidth="1"/>
    <col min="9" max="9" width="8" customWidth="1"/>
    <col min="10" max="10" width="5" customWidth="1"/>
    <col min="11" max="11" width="7.33203125" customWidth="1"/>
    <col min="12" max="12" width="6.5" customWidth="1"/>
    <col min="13" max="13" width="6.6640625" bestFit="1" customWidth="1"/>
    <col min="15" max="15" width="45.5" style="15" bestFit="1" customWidth="1"/>
    <col min="16" max="16" width="16.83203125" customWidth="1"/>
    <col min="17" max="17" width="10.33203125" bestFit="1" customWidth="1"/>
  </cols>
  <sheetData>
    <row r="1" spans="1:16" x14ac:dyDescent="0.2">
      <c r="A1" s="52" t="s">
        <v>197</v>
      </c>
      <c r="B1" s="74"/>
      <c r="L1" t="s">
        <v>198</v>
      </c>
      <c r="M1" t="s">
        <v>199</v>
      </c>
      <c r="O1" s="15" t="s">
        <v>200</v>
      </c>
      <c r="P1" t="s">
        <v>966</v>
      </c>
    </row>
    <row r="2" spans="1:16" x14ac:dyDescent="0.2">
      <c r="A2" s="53" t="s">
        <v>201</v>
      </c>
      <c r="B2" s="53" t="s">
        <v>202</v>
      </c>
      <c r="C2" s="53" t="s">
        <v>203</v>
      </c>
      <c r="D2" s="53" t="s">
        <v>204</v>
      </c>
      <c r="E2" s="53" t="s">
        <v>205</v>
      </c>
      <c r="F2" s="53" t="s">
        <v>206</v>
      </c>
      <c r="G2" s="53" t="s">
        <v>638</v>
      </c>
      <c r="H2" s="53" t="s">
        <v>115</v>
      </c>
      <c r="I2" s="54" t="s">
        <v>207</v>
      </c>
      <c r="J2" s="55" t="s">
        <v>208</v>
      </c>
      <c r="K2" s="53" t="s">
        <v>209</v>
      </c>
      <c r="L2" s="54" t="s">
        <v>210</v>
      </c>
      <c r="M2" s="55" t="s">
        <v>211</v>
      </c>
      <c r="O2" s="70" t="s">
        <v>212</v>
      </c>
      <c r="P2" s="56" t="s">
        <v>213</v>
      </c>
    </row>
    <row r="3" spans="1:16" x14ac:dyDescent="0.2">
      <c r="A3" s="53"/>
      <c r="B3" s="53"/>
      <c r="C3" s="53"/>
      <c r="D3" s="53"/>
      <c r="E3" s="53"/>
      <c r="F3" s="53"/>
      <c r="G3" s="53"/>
      <c r="H3" s="53"/>
      <c r="I3" s="54"/>
      <c r="J3" s="55"/>
      <c r="K3" s="53"/>
      <c r="L3" s="54"/>
      <c r="M3" s="55"/>
      <c r="O3" s="70"/>
      <c r="P3" s="56"/>
    </row>
    <row r="4" spans="1:16" x14ac:dyDescent="0.2">
      <c r="A4" s="69" t="s">
        <v>970</v>
      </c>
      <c r="B4" s="53"/>
      <c r="C4" s="53"/>
      <c r="D4" s="53"/>
      <c r="E4" s="53"/>
      <c r="F4" s="53"/>
      <c r="G4" s="53"/>
      <c r="H4" s="53"/>
      <c r="I4" s="54"/>
      <c r="J4" s="55"/>
      <c r="K4" s="53"/>
      <c r="L4" s="54"/>
      <c r="M4" s="55"/>
      <c r="O4" s="70"/>
      <c r="P4" s="56"/>
    </row>
    <row r="5" spans="1:16" x14ac:dyDescent="0.2">
      <c r="A5" s="53"/>
      <c r="B5" s="53"/>
      <c r="C5" s="53"/>
      <c r="D5" s="53"/>
      <c r="E5" s="53"/>
      <c r="F5" s="53"/>
      <c r="G5" s="53"/>
      <c r="H5" s="53"/>
      <c r="I5" s="54"/>
      <c r="J5" s="55"/>
      <c r="K5" s="53"/>
      <c r="L5" s="54"/>
      <c r="M5" s="55"/>
      <c r="O5" s="70"/>
      <c r="P5" s="56"/>
    </row>
    <row r="6" spans="1:16" x14ac:dyDescent="0.2">
      <c r="A6" s="1" t="s">
        <v>214</v>
      </c>
      <c r="B6" s="69" t="s">
        <v>215</v>
      </c>
      <c r="C6" s="49">
        <v>2</v>
      </c>
      <c r="D6" s="49">
        <v>10</v>
      </c>
      <c r="E6" s="49">
        <v>4</v>
      </c>
      <c r="F6" s="49">
        <v>0</v>
      </c>
      <c r="G6" s="49" t="e">
        <f>H6&amp;IF(I6="e14fr",IF(Karakterlap!$F$3-14&gt;0,"+"&amp;Karakterlap!$F$3-14,""),IF(I6="e16fr",IF(Karakterlap!$F$3-16&gt;0,"+"&amp;Karakterlap!$F$3-16,""),""))</f>
        <v>#VALUE!</v>
      </c>
      <c r="H6" s="49" t="s">
        <v>216</v>
      </c>
      <c r="I6" s="57" t="s">
        <v>217</v>
      </c>
      <c r="J6" s="49">
        <v>0.2</v>
      </c>
      <c r="K6" s="49">
        <v>2</v>
      </c>
      <c r="L6" s="57" t="s">
        <v>218</v>
      </c>
      <c r="M6" s="57" t="s">
        <v>220</v>
      </c>
      <c r="O6" s="69" t="s">
        <v>221</v>
      </c>
      <c r="P6" s="57" t="s">
        <v>222</v>
      </c>
    </row>
    <row r="7" spans="1:16" x14ac:dyDescent="0.2">
      <c r="A7" s="1" t="s">
        <v>223</v>
      </c>
      <c r="B7" s="69" t="s">
        <v>215</v>
      </c>
      <c r="C7" s="49">
        <v>2</v>
      </c>
      <c r="D7" s="49">
        <v>12</v>
      </c>
      <c r="E7" s="49">
        <v>9</v>
      </c>
      <c r="F7" s="49">
        <v>2</v>
      </c>
      <c r="G7" s="49" t="e">
        <f>H7&amp;IF(I7="e14fr",IF(Karakterlap!$F$3-14&gt;0,"+"&amp;Karakterlap!$F$3-14,""),IF(I7="e16fr",IF(Karakterlap!$F$3-16&gt;0,"+"&amp;Karakterlap!$F$3-16,""),""))</f>
        <v>#VALUE!</v>
      </c>
      <c r="H7" s="49" t="s">
        <v>224</v>
      </c>
      <c r="I7" s="57" t="s">
        <v>217</v>
      </c>
      <c r="J7" s="57" t="s">
        <v>225</v>
      </c>
      <c r="K7" s="57" t="s">
        <v>226</v>
      </c>
      <c r="L7" s="57" t="s">
        <v>218</v>
      </c>
      <c r="M7" s="57" t="s">
        <v>220</v>
      </c>
      <c r="O7" s="69" t="s">
        <v>228</v>
      </c>
      <c r="P7" s="57" t="s">
        <v>229</v>
      </c>
    </row>
    <row r="8" spans="1:16" x14ac:dyDescent="0.2">
      <c r="A8" s="1" t="s">
        <v>230</v>
      </c>
      <c r="B8" s="69" t="s">
        <v>215</v>
      </c>
      <c r="C8" s="49">
        <v>2</v>
      </c>
      <c r="D8" s="49">
        <v>8</v>
      </c>
      <c r="E8" s="49">
        <v>10</v>
      </c>
      <c r="F8" s="49">
        <v>8</v>
      </c>
      <c r="G8" s="49" t="e">
        <f>H8&amp;IF(I8="e14fr",IF(Karakterlap!$F$3-14&gt;0,"+"&amp;Karakterlap!$F$3-14,""),IF(I8="e16fr",IF(Karakterlap!$F$3-16&gt;0,"+"&amp;Karakterlap!$F$3-16,""),""))</f>
        <v>#VALUE!</v>
      </c>
      <c r="H8" s="49" t="s">
        <v>231</v>
      </c>
      <c r="I8" s="57" t="s">
        <v>217</v>
      </c>
      <c r="J8" s="57" t="s">
        <v>225</v>
      </c>
      <c r="K8" s="57" t="s">
        <v>232</v>
      </c>
      <c r="L8" s="57" t="s">
        <v>218</v>
      </c>
      <c r="M8" s="57" t="s">
        <v>220</v>
      </c>
      <c r="O8" s="69" t="s">
        <v>233</v>
      </c>
      <c r="P8" s="57" t="s">
        <v>234</v>
      </c>
    </row>
    <row r="9" spans="1:16" x14ac:dyDescent="0.2">
      <c r="A9" s="1" t="s">
        <v>235</v>
      </c>
      <c r="B9" s="69" t="s">
        <v>215</v>
      </c>
      <c r="C9" s="49">
        <v>2</v>
      </c>
      <c r="D9" s="49">
        <v>10</v>
      </c>
      <c r="E9" s="49">
        <v>8</v>
      </c>
      <c r="F9" s="49">
        <v>2</v>
      </c>
      <c r="G9" s="49" t="e">
        <f>H9&amp;IF(I9="e14fr",IF(Karakterlap!$F$3-14&gt;0,"+"&amp;Karakterlap!$F$3-14,""),IF(I9="e16fr",IF(Karakterlap!$F$3-16&gt;0,"+"&amp;Karakterlap!$F$3-16,""),""))</f>
        <v>#VALUE!</v>
      </c>
      <c r="H9" s="49" t="s">
        <v>224</v>
      </c>
      <c r="I9" s="57" t="s">
        <v>217</v>
      </c>
      <c r="J9" s="57" t="s">
        <v>225</v>
      </c>
      <c r="K9" s="57" t="s">
        <v>236</v>
      </c>
      <c r="L9" s="57" t="s">
        <v>218</v>
      </c>
      <c r="M9" s="57" t="s">
        <v>220</v>
      </c>
      <c r="O9" s="69" t="s">
        <v>237</v>
      </c>
      <c r="P9" s="57" t="s">
        <v>238</v>
      </c>
    </row>
    <row r="10" spans="1:16" x14ac:dyDescent="0.2">
      <c r="A10" s="1" t="s">
        <v>239</v>
      </c>
      <c r="B10" s="69" t="s">
        <v>215</v>
      </c>
      <c r="C10" s="49">
        <v>1</v>
      </c>
      <c r="D10" s="49">
        <v>7</v>
      </c>
      <c r="E10" s="49">
        <v>16</v>
      </c>
      <c r="F10" s="49">
        <v>14</v>
      </c>
      <c r="G10" s="49" t="e">
        <f>H10&amp;IF(I10="e14fr",IF(Karakterlap!$F$3-14&gt;0,"+"&amp;Karakterlap!$F$3-14,""),IF(I10="e16fr",IF(Karakterlap!$F$3-16&gt;0,"+"&amp;Karakterlap!$F$3-16,""),""))</f>
        <v>#VALUE!</v>
      </c>
      <c r="H10" s="49" t="s">
        <v>224</v>
      </c>
      <c r="I10" s="57" t="s">
        <v>217</v>
      </c>
      <c r="J10" s="49">
        <v>1.2</v>
      </c>
      <c r="K10" s="49" t="s">
        <v>240</v>
      </c>
      <c r="L10" s="57" t="s">
        <v>218</v>
      </c>
      <c r="M10" s="57" t="s">
        <v>241</v>
      </c>
      <c r="O10" s="69" t="s">
        <v>237</v>
      </c>
      <c r="P10" s="57" t="s">
        <v>242</v>
      </c>
    </row>
    <row r="11" spans="1:16" x14ac:dyDescent="0.2">
      <c r="A11" s="69" t="s">
        <v>624</v>
      </c>
      <c r="B11" s="69" t="s">
        <v>215</v>
      </c>
      <c r="C11" s="57" t="s">
        <v>220</v>
      </c>
      <c r="D11" s="57" t="s">
        <v>282</v>
      </c>
      <c r="E11" s="57" t="s">
        <v>614</v>
      </c>
      <c r="F11" s="57" t="s">
        <v>282</v>
      </c>
      <c r="G11" s="49" t="e">
        <f>H11&amp;IF(I11="e14fr",IF(Karakterlap!$F$3-14&gt;0,"+"&amp;Karakterlap!$F$3-14,""),IF(I11="e16fr",IF(Karakterlap!$F$3-16&gt;0,"+"&amp;Karakterlap!$F$3-16,""),""))</f>
        <v>#VALUE!</v>
      </c>
      <c r="H11" s="57" t="s">
        <v>224</v>
      </c>
      <c r="I11" s="57" t="s">
        <v>217</v>
      </c>
      <c r="J11" s="57" t="s">
        <v>274</v>
      </c>
      <c r="K11" s="57" t="s">
        <v>625</v>
      </c>
      <c r="L11" s="57" t="s">
        <v>218</v>
      </c>
      <c r="M11" s="57" t="s">
        <v>275</v>
      </c>
      <c r="O11" s="69" t="s">
        <v>219</v>
      </c>
      <c r="P11" s="57" t="s">
        <v>623</v>
      </c>
    </row>
    <row r="12" spans="1:16" x14ac:dyDescent="0.2">
      <c r="A12" s="27" t="s">
        <v>243</v>
      </c>
      <c r="B12" s="69" t="s">
        <v>215</v>
      </c>
      <c r="C12" s="63">
        <v>1</v>
      </c>
      <c r="D12" s="49">
        <v>7</v>
      </c>
      <c r="E12" s="63">
        <v>16</v>
      </c>
      <c r="F12" s="63">
        <v>16</v>
      </c>
      <c r="G12" s="49" t="e">
        <f>H12&amp;IF(I12="e14fr",IF(Karakterlap!$F$3-14&gt;0,"+"&amp;Karakterlap!$F$3-14,""),IF(I12="e16fr",IF(Karakterlap!$F$3-16&gt;0,"+"&amp;Karakterlap!$F$3-16,""),""))</f>
        <v>#VALUE!</v>
      </c>
      <c r="H12" s="63" t="s">
        <v>224</v>
      </c>
      <c r="I12" s="57" t="s">
        <v>217</v>
      </c>
      <c r="J12" s="49">
        <v>1.5</v>
      </c>
      <c r="K12" s="49" t="s">
        <v>244</v>
      </c>
      <c r="L12" s="57" t="s">
        <v>218</v>
      </c>
      <c r="M12" s="57" t="s">
        <v>241</v>
      </c>
      <c r="O12" s="69" t="s">
        <v>245</v>
      </c>
      <c r="P12" s="71" t="s">
        <v>246</v>
      </c>
    </row>
    <row r="13" spans="1:16" x14ac:dyDescent="0.2">
      <c r="A13" s="33" t="s">
        <v>248</v>
      </c>
      <c r="B13" s="69" t="s">
        <v>215</v>
      </c>
      <c r="C13" s="58">
        <v>3</v>
      </c>
      <c r="D13" s="58">
        <v>8</v>
      </c>
      <c r="E13" s="58">
        <v>13</v>
      </c>
      <c r="F13" s="58">
        <v>18</v>
      </c>
      <c r="G13" s="49" t="e">
        <f>H13&amp;IF(I13="e14fr",IF(Karakterlap!$F$3-14&gt;0,"+"&amp;Karakterlap!$F$3-14,""),IF(I13="e16fr",IF(Karakterlap!$F$3-16&gt;0,"+"&amp;Karakterlap!$F$3-16,""),""))</f>
        <v>#VALUE!</v>
      </c>
      <c r="H13" s="58" t="s">
        <v>249</v>
      </c>
      <c r="I13" s="59" t="s">
        <v>217</v>
      </c>
      <c r="J13" s="59" t="s">
        <v>250</v>
      </c>
      <c r="K13" s="59" t="s">
        <v>251</v>
      </c>
      <c r="L13" s="59" t="s">
        <v>218</v>
      </c>
      <c r="M13" s="59" t="s">
        <v>252</v>
      </c>
      <c r="O13" s="69" t="s">
        <v>237</v>
      </c>
      <c r="P13" s="57" t="s">
        <v>246</v>
      </c>
    </row>
    <row r="14" spans="1:16" x14ac:dyDescent="0.2">
      <c r="A14" s="27" t="s">
        <v>253</v>
      </c>
      <c r="B14" s="69" t="s">
        <v>215</v>
      </c>
      <c r="C14" s="63">
        <v>1</v>
      </c>
      <c r="D14" s="63">
        <v>7</v>
      </c>
      <c r="E14" s="49">
        <v>12</v>
      </c>
      <c r="F14" s="49">
        <v>10</v>
      </c>
      <c r="G14" s="49" t="e">
        <f>H14&amp;IF(I14="e14fr",IF(Karakterlap!$F$3-14&gt;0,"+"&amp;Karakterlap!$F$3-14,""),IF(I14="e16fr",IF(Karakterlap!$F$3-16&gt;0,"+"&amp;Karakterlap!$F$3-16,""),""))</f>
        <v>#VALUE!</v>
      </c>
      <c r="H14" s="63" t="s">
        <v>254</v>
      </c>
      <c r="I14" s="57" t="s">
        <v>217</v>
      </c>
      <c r="J14" s="63">
        <v>1</v>
      </c>
      <c r="K14" s="63" t="s">
        <v>255</v>
      </c>
      <c r="L14" s="57" t="s">
        <v>220</v>
      </c>
      <c r="M14" s="57" t="s">
        <v>237</v>
      </c>
      <c r="O14" s="69" t="s">
        <v>256</v>
      </c>
      <c r="P14" s="71" t="s">
        <v>242</v>
      </c>
    </row>
    <row r="15" spans="1:16" x14ac:dyDescent="0.2">
      <c r="A15" s="1" t="s">
        <v>257</v>
      </c>
      <c r="B15" s="69" t="s">
        <v>215</v>
      </c>
      <c r="C15" s="60">
        <v>2</v>
      </c>
      <c r="D15" s="60">
        <v>11</v>
      </c>
      <c r="E15" s="60">
        <v>7</v>
      </c>
      <c r="F15" s="60">
        <v>2</v>
      </c>
      <c r="G15" s="49" t="e">
        <f>H15&amp;IF(I15="e14fr",IF(Karakterlap!$F$3-14&gt;0,"+"&amp;Karakterlap!$F$3-14,""),IF(I15="e16fr",IF(Karakterlap!$F$3-16&gt;0,"+"&amp;Karakterlap!$F$3-16,""),""))</f>
        <v>#VALUE!</v>
      </c>
      <c r="H15" s="60" t="s">
        <v>231</v>
      </c>
      <c r="I15" s="57" t="s">
        <v>217</v>
      </c>
      <c r="J15" s="57" t="s">
        <v>225</v>
      </c>
      <c r="K15" s="57" t="s">
        <v>258</v>
      </c>
      <c r="L15" s="57" t="s">
        <v>218</v>
      </c>
      <c r="M15" s="57" t="s">
        <v>259</v>
      </c>
      <c r="O15" s="69" t="s">
        <v>260</v>
      </c>
      <c r="P15" s="57" t="s">
        <v>261</v>
      </c>
    </row>
    <row r="16" spans="1:16" x14ac:dyDescent="0.2">
      <c r="A16" s="1" t="s">
        <v>636</v>
      </c>
      <c r="B16" s="69" t="s">
        <v>215</v>
      </c>
      <c r="C16" s="49">
        <v>1</v>
      </c>
      <c r="D16" s="49">
        <v>9</v>
      </c>
      <c r="E16" s="49">
        <v>17</v>
      </c>
      <c r="F16" s="49">
        <v>20</v>
      </c>
      <c r="G16" s="49" t="str">
        <f>H16&amp;IF(I16="e14fr",IF(Karakterlap!$F$3-14&gt;0,"+"&amp;Karakterlap!$F$3-14,""),IF(I16="e16fr",IF(Karakterlap!$F$3-16&gt;0,"+"&amp;Karakterlap!$F$3-16,""),""))</f>
        <v>2K6+3</v>
      </c>
      <c r="H16" s="49" t="s">
        <v>317</v>
      </c>
      <c r="I16" s="57" t="s">
        <v>219</v>
      </c>
      <c r="J16" s="57" t="s">
        <v>318</v>
      </c>
      <c r="K16" s="57" t="s">
        <v>319</v>
      </c>
      <c r="L16" s="57" t="s">
        <v>218</v>
      </c>
      <c r="M16" s="57" t="s">
        <v>241</v>
      </c>
      <c r="O16" s="69" t="s">
        <v>237</v>
      </c>
      <c r="P16" s="57" t="s">
        <v>276</v>
      </c>
    </row>
    <row r="17" spans="1:16" x14ac:dyDescent="0.2">
      <c r="A17" s="1" t="s">
        <v>262</v>
      </c>
      <c r="B17" s="69" t="s">
        <v>215</v>
      </c>
      <c r="C17" s="60">
        <v>1</v>
      </c>
      <c r="D17" s="60">
        <v>7</v>
      </c>
      <c r="E17" s="60">
        <v>15</v>
      </c>
      <c r="F17" s="60">
        <v>12</v>
      </c>
      <c r="G17" s="49" t="e">
        <f>H17&amp;IF(I17="e14fr",IF(Karakterlap!$F$3-14&gt;0,"+"&amp;Karakterlap!$F$3-14,""),IF(I17="e16fr",IF(Karakterlap!$F$3-16&gt;0,"+"&amp;Karakterlap!$F$3-16,""),""))</f>
        <v>#VALUE!</v>
      </c>
      <c r="H17" s="60" t="s">
        <v>263</v>
      </c>
      <c r="I17" s="57" t="s">
        <v>217</v>
      </c>
      <c r="J17" s="57" t="s">
        <v>218</v>
      </c>
      <c r="K17" s="57" t="s">
        <v>244</v>
      </c>
      <c r="L17" s="57" t="s">
        <v>218</v>
      </c>
      <c r="M17" s="57" t="s">
        <v>226</v>
      </c>
      <c r="O17" s="69" t="s">
        <v>237</v>
      </c>
      <c r="P17" s="57" t="s">
        <v>264</v>
      </c>
    </row>
    <row r="18" spans="1:16" x14ac:dyDescent="0.2">
      <c r="A18" s="1" t="s">
        <v>265</v>
      </c>
      <c r="B18" s="69" t="s">
        <v>215</v>
      </c>
      <c r="C18" s="60">
        <v>1</v>
      </c>
      <c r="D18" s="60">
        <v>7</v>
      </c>
      <c r="E18" s="60">
        <v>15</v>
      </c>
      <c r="F18" s="60">
        <v>14</v>
      </c>
      <c r="G18" s="49" t="e">
        <f>H18&amp;IF(I18="e14fr",IF(Karakterlap!$F$3-14&gt;0,"+"&amp;Karakterlap!$F$3-14,""),IF(I18="e16fr",IF(Karakterlap!$F$3-16&gt;0,"+"&amp;Karakterlap!$F$3-16,""),""))</f>
        <v>#VALUE!</v>
      </c>
      <c r="H18" s="60" t="s">
        <v>254</v>
      </c>
      <c r="I18" s="57" t="s">
        <v>217</v>
      </c>
      <c r="J18" s="57" t="s">
        <v>266</v>
      </c>
      <c r="K18" s="57" t="s">
        <v>267</v>
      </c>
      <c r="L18" s="57" t="s">
        <v>218</v>
      </c>
      <c r="M18" s="57" t="s">
        <v>268</v>
      </c>
      <c r="N18" s="57"/>
      <c r="O18" s="69" t="s">
        <v>237</v>
      </c>
      <c r="P18" s="57" t="s">
        <v>269</v>
      </c>
    </row>
    <row r="19" spans="1:16" x14ac:dyDescent="0.2">
      <c r="A19" s="1" t="s">
        <v>270</v>
      </c>
      <c r="B19" s="69" t="s">
        <v>215</v>
      </c>
      <c r="C19" s="49">
        <v>1</v>
      </c>
      <c r="D19" s="49">
        <v>6</v>
      </c>
      <c r="E19" s="49">
        <v>14</v>
      </c>
      <c r="F19" s="49">
        <v>12</v>
      </c>
      <c r="G19" s="49" t="e">
        <f>H19&amp;IF(I19="e14fr",IF(Karakterlap!$F$3-14&gt;0,"+"&amp;Karakterlap!$F$3-14,""),IF(I19="e16fr",IF(Karakterlap!$F$3-16&gt;0,"+"&amp;Karakterlap!$F$3-16,""),""))</f>
        <v>#VALUE!</v>
      </c>
      <c r="H19" s="49" t="s">
        <v>271</v>
      </c>
      <c r="I19" s="57" t="s">
        <v>217</v>
      </c>
      <c r="J19" s="49">
        <v>1.8</v>
      </c>
      <c r="K19" s="49" t="s">
        <v>272</v>
      </c>
      <c r="L19" s="57" t="s">
        <v>218</v>
      </c>
      <c r="M19" s="57" t="s">
        <v>241</v>
      </c>
      <c r="O19" s="69"/>
      <c r="P19" s="57"/>
    </row>
    <row r="20" spans="1:16" x14ac:dyDescent="0.2">
      <c r="A20" s="1" t="s">
        <v>635</v>
      </c>
      <c r="B20" s="69" t="s">
        <v>215</v>
      </c>
      <c r="C20" s="62">
        <v>1</v>
      </c>
      <c r="D20" s="62">
        <v>8</v>
      </c>
      <c r="E20" s="62">
        <v>16</v>
      </c>
      <c r="F20" s="62">
        <v>16</v>
      </c>
      <c r="G20" s="49" t="e">
        <f>H20&amp;IF(I20="e14fr",IF(Karakterlap!$F$3-14&gt;0,"+"&amp;Karakterlap!$F$3-14,""),IF(I20="e16fr",IF(Karakterlap!$F$3-16&gt;0,"+"&amp;Karakterlap!$F$3-16,""),""))</f>
        <v>#VALUE!</v>
      </c>
      <c r="H20" s="60" t="s">
        <v>224</v>
      </c>
      <c r="I20" s="57" t="s">
        <v>217</v>
      </c>
      <c r="J20" s="57" t="s">
        <v>274</v>
      </c>
      <c r="K20" s="57" t="s">
        <v>251</v>
      </c>
      <c r="L20" s="57" t="s">
        <v>218</v>
      </c>
      <c r="M20" s="57" t="s">
        <v>275</v>
      </c>
      <c r="O20" s="69" t="s">
        <v>237</v>
      </c>
      <c r="P20" s="57" t="s">
        <v>276</v>
      </c>
    </row>
    <row r="21" spans="1:16" x14ac:dyDescent="0.2">
      <c r="A21" s="1" t="s">
        <v>277</v>
      </c>
      <c r="B21" s="69" t="s">
        <v>215</v>
      </c>
      <c r="C21" s="60">
        <v>2</v>
      </c>
      <c r="D21" s="60">
        <v>8</v>
      </c>
      <c r="E21" s="60">
        <v>3</v>
      </c>
      <c r="F21" s="60">
        <v>21</v>
      </c>
      <c r="G21" s="49" t="e">
        <f>H21&amp;IF(I21="e14fr",IF(Karakterlap!$F$3-14&gt;0,"+"&amp;Karakterlap!$F$3-14,""),IF(I21="e16fr",IF(Karakterlap!$F$3-16&gt;0,"+"&amp;Karakterlap!$F$3-16,""),""))</f>
        <v>#VALUE!</v>
      </c>
      <c r="H21" s="60" t="s">
        <v>231</v>
      </c>
      <c r="I21" s="57" t="s">
        <v>217</v>
      </c>
      <c r="J21" s="57" t="s">
        <v>225</v>
      </c>
      <c r="K21" s="57" t="s">
        <v>278</v>
      </c>
      <c r="L21" s="57" t="s">
        <v>218</v>
      </c>
      <c r="M21" s="57" t="s">
        <v>220</v>
      </c>
      <c r="O21" s="69" t="s">
        <v>237</v>
      </c>
      <c r="P21" s="57" t="s">
        <v>238</v>
      </c>
    </row>
    <row r="22" spans="1:16" x14ac:dyDescent="0.2">
      <c r="A22" s="1" t="s">
        <v>284</v>
      </c>
      <c r="B22" s="69" t="s">
        <v>215</v>
      </c>
      <c r="C22" s="60">
        <v>1</v>
      </c>
      <c r="D22" s="60">
        <v>6</v>
      </c>
      <c r="E22" s="60">
        <v>14</v>
      </c>
      <c r="F22" s="60">
        <v>15</v>
      </c>
      <c r="G22" s="49" t="e">
        <f>H22&amp;IF(I22="e14fr",IF(Karakterlap!$F$3-14&gt;0,"+"&amp;Karakterlap!$F$3-14,""),IF(I22="e16fr",IF(Karakterlap!$F$3-16&gt;0,"+"&amp;Karakterlap!$F$3-16,""),""))</f>
        <v>#VALUE!</v>
      </c>
      <c r="H22" s="60" t="s">
        <v>271</v>
      </c>
      <c r="I22" s="57" t="s">
        <v>247</v>
      </c>
      <c r="J22" s="57" t="s">
        <v>220</v>
      </c>
      <c r="K22" s="57" t="s">
        <v>285</v>
      </c>
      <c r="L22" s="57" t="s">
        <v>218</v>
      </c>
      <c r="M22" s="57" t="s">
        <v>241</v>
      </c>
      <c r="O22" s="69" t="s">
        <v>286</v>
      </c>
      <c r="P22" s="57" t="s">
        <v>276</v>
      </c>
    </row>
    <row r="23" spans="1:16" x14ac:dyDescent="0.2">
      <c r="A23" s="1" t="s">
        <v>287</v>
      </c>
      <c r="B23" s="69" t="s">
        <v>215</v>
      </c>
      <c r="C23" s="60">
        <v>2</v>
      </c>
      <c r="D23" s="60">
        <v>8</v>
      </c>
      <c r="E23" s="60">
        <v>4</v>
      </c>
      <c r="F23" s="60">
        <v>19</v>
      </c>
      <c r="G23" s="49" t="e">
        <f>H23&amp;IF(I23="e14fr",IF(Karakterlap!$F$3-14&gt;0,"+"&amp;Karakterlap!$F$3-14,""),IF(I23="e16fr",IF(Karakterlap!$F$3-16&gt;0,"+"&amp;Karakterlap!$F$3-16,""),""))</f>
        <v>#VALUE!</v>
      </c>
      <c r="H23" s="60" t="s">
        <v>231</v>
      </c>
      <c r="I23" s="57" t="s">
        <v>217</v>
      </c>
      <c r="J23" s="57" t="s">
        <v>225</v>
      </c>
      <c r="K23" s="57" t="s">
        <v>288</v>
      </c>
      <c r="L23" s="57" t="s">
        <v>218</v>
      </c>
      <c r="M23" s="57" t="s">
        <v>259</v>
      </c>
      <c r="O23" s="69" t="s">
        <v>237</v>
      </c>
      <c r="P23" s="57" t="s">
        <v>289</v>
      </c>
    </row>
    <row r="24" spans="1:16" x14ac:dyDescent="0.2">
      <c r="A24" s="1" t="s">
        <v>290</v>
      </c>
      <c r="B24" s="69" t="s">
        <v>215</v>
      </c>
      <c r="C24" s="60">
        <v>2</v>
      </c>
      <c r="D24" s="60">
        <v>8</v>
      </c>
      <c r="E24" s="60">
        <v>3</v>
      </c>
      <c r="F24" s="60">
        <v>20</v>
      </c>
      <c r="G24" s="49" t="e">
        <f>H24&amp;IF(I24="e14fr",IF(Karakterlap!$F$3-14&gt;0,"+"&amp;Karakterlap!$F$3-14,""),IF(I24="e16fr",IF(Karakterlap!$F$3-16&gt;0,"+"&amp;Karakterlap!$F$3-16,""),""))</f>
        <v>#VALUE!</v>
      </c>
      <c r="H24" s="60" t="s">
        <v>291</v>
      </c>
      <c r="I24" s="57" t="s">
        <v>217</v>
      </c>
      <c r="J24" s="57" t="s">
        <v>225</v>
      </c>
      <c r="K24" s="57" t="s">
        <v>251</v>
      </c>
      <c r="L24" s="57" t="s">
        <v>218</v>
      </c>
      <c r="M24" s="57" t="s">
        <v>275</v>
      </c>
      <c r="O24" s="69" t="s">
        <v>237</v>
      </c>
      <c r="P24" s="57" t="s">
        <v>289</v>
      </c>
    </row>
    <row r="25" spans="1:16" x14ac:dyDescent="0.2">
      <c r="A25" s="1" t="s">
        <v>292</v>
      </c>
      <c r="B25" s="69" t="s">
        <v>215</v>
      </c>
      <c r="C25" s="60">
        <v>1</v>
      </c>
      <c r="D25" s="60">
        <v>8</v>
      </c>
      <c r="E25" s="60">
        <v>12</v>
      </c>
      <c r="F25" s="60">
        <v>10</v>
      </c>
      <c r="G25" s="49" t="e">
        <f>H25&amp;IF(I25="e14fr",IF(Karakterlap!$F$3-14&gt;0,"+"&amp;Karakterlap!$F$3-14,""),IF(I25="e16fr",IF(Karakterlap!$F$3-16&gt;0,"+"&amp;Karakterlap!$F$3-16,""),""))</f>
        <v>#VALUE!</v>
      </c>
      <c r="H25" s="60" t="s">
        <v>224</v>
      </c>
      <c r="I25" s="57" t="s">
        <v>217</v>
      </c>
      <c r="J25" s="57" t="s">
        <v>293</v>
      </c>
      <c r="K25" s="57" t="s">
        <v>294</v>
      </c>
      <c r="L25" s="57" t="s">
        <v>218</v>
      </c>
      <c r="M25" s="57" t="s">
        <v>218</v>
      </c>
      <c r="O25" s="69" t="s">
        <v>237</v>
      </c>
      <c r="P25" s="57" t="s">
        <v>289</v>
      </c>
    </row>
    <row r="26" spans="1:16" x14ac:dyDescent="0.2">
      <c r="A26" s="1" t="s">
        <v>295</v>
      </c>
      <c r="B26" s="69" t="s">
        <v>215</v>
      </c>
      <c r="C26" s="60">
        <v>1</v>
      </c>
      <c r="D26" s="60">
        <v>6</v>
      </c>
      <c r="E26" s="60">
        <v>14</v>
      </c>
      <c r="F26" s="60">
        <v>12</v>
      </c>
      <c r="G26" s="49" t="e">
        <f>H26&amp;IF(I26="e14fr",IF(Karakterlap!$F$3-14&gt;0,"+"&amp;Karakterlap!$F$3-14,""),IF(I26="e16fr",IF(Karakterlap!$F$3-16&gt;0,"+"&amp;Karakterlap!$F$3-16,""),""))</f>
        <v>#VALUE!</v>
      </c>
      <c r="H26" s="60" t="s">
        <v>296</v>
      </c>
      <c r="I26" s="57" t="s">
        <v>217</v>
      </c>
      <c r="J26" s="57" t="s">
        <v>218</v>
      </c>
      <c r="K26" s="57" t="s">
        <v>297</v>
      </c>
      <c r="L26" s="57" t="s">
        <v>218</v>
      </c>
      <c r="M26" s="57" t="s">
        <v>275</v>
      </c>
      <c r="O26" s="69" t="s">
        <v>298</v>
      </c>
      <c r="P26" s="57" t="s">
        <v>276</v>
      </c>
    </row>
    <row r="27" spans="1:16" x14ac:dyDescent="0.2">
      <c r="A27" s="1" t="s">
        <v>299</v>
      </c>
      <c r="B27" s="69" t="s">
        <v>215</v>
      </c>
      <c r="C27" s="60">
        <v>2</v>
      </c>
      <c r="D27" s="60">
        <v>8</v>
      </c>
      <c r="E27" s="60">
        <v>17</v>
      </c>
      <c r="F27" s="60">
        <v>5</v>
      </c>
      <c r="G27" s="49" t="e">
        <f>H27&amp;IF(I27="e14fr",IF(Karakterlap!$F$3-14&gt;0,"+"&amp;Karakterlap!$F$3-14,""),IF(I27="e16fr",IF(Karakterlap!$F$3-16&gt;0,"+"&amp;Karakterlap!$F$3-16,""),""))</f>
        <v>#VALUE!</v>
      </c>
      <c r="H27" s="60" t="s">
        <v>300</v>
      </c>
      <c r="I27" s="57" t="s">
        <v>217</v>
      </c>
      <c r="J27" s="57" t="s">
        <v>301</v>
      </c>
      <c r="K27" s="57" t="s">
        <v>258</v>
      </c>
      <c r="L27" s="57" t="s">
        <v>218</v>
      </c>
      <c r="M27" s="57" t="s">
        <v>220</v>
      </c>
      <c r="O27" s="69" t="s">
        <v>237</v>
      </c>
      <c r="P27" s="57" t="s">
        <v>302</v>
      </c>
    </row>
    <row r="28" spans="1:16" x14ac:dyDescent="0.2">
      <c r="A28" s="1" t="s">
        <v>303</v>
      </c>
      <c r="B28" s="69" t="s">
        <v>215</v>
      </c>
      <c r="C28" s="49">
        <v>1</v>
      </c>
      <c r="D28" s="49">
        <v>8</v>
      </c>
      <c r="E28" s="49">
        <v>15</v>
      </c>
      <c r="F28" s="49">
        <v>12</v>
      </c>
      <c r="G28" s="49" t="e">
        <f>H28&amp;IF(I28="e14fr",IF(Karakterlap!$F$3-14&gt;0,"+"&amp;Karakterlap!$F$3-14,""),IF(I28="e16fr",IF(Karakterlap!$F$3-16&gt;0,"+"&amp;Karakterlap!$F$3-16,""),""))</f>
        <v>#VALUE!</v>
      </c>
      <c r="H28" s="49" t="s">
        <v>254</v>
      </c>
      <c r="I28" s="57" t="s">
        <v>217</v>
      </c>
      <c r="J28" s="57" t="s">
        <v>304</v>
      </c>
      <c r="K28" s="57" t="s">
        <v>288</v>
      </c>
      <c r="L28" s="57" t="s">
        <v>218</v>
      </c>
      <c r="M28" s="57" t="s">
        <v>220</v>
      </c>
      <c r="O28" s="69" t="s">
        <v>237</v>
      </c>
      <c r="P28" s="57" t="s">
        <v>305</v>
      </c>
    </row>
    <row r="29" spans="1:16" x14ac:dyDescent="0.2">
      <c r="A29" s="1" t="s">
        <v>306</v>
      </c>
      <c r="B29" s="69" t="s">
        <v>215</v>
      </c>
      <c r="C29" s="49">
        <v>1</v>
      </c>
      <c r="D29" s="49">
        <v>4</v>
      </c>
      <c r="E29" s="49">
        <v>16</v>
      </c>
      <c r="F29" s="49">
        <v>18</v>
      </c>
      <c r="G29" s="49" t="e">
        <f>H29&amp;IF(I29="e14fr",IF(Karakterlap!$F$3-14&gt;0,"+"&amp;Karakterlap!$F$3-14,""),IF(I29="e16fr",IF(Karakterlap!$F$3-16&gt;0,"+"&amp;Karakterlap!$F$3-16,""),""))</f>
        <v>#VALUE!</v>
      </c>
      <c r="H29" s="49" t="s">
        <v>307</v>
      </c>
      <c r="I29" s="57" t="s">
        <v>217</v>
      </c>
      <c r="J29" s="57" t="s">
        <v>308</v>
      </c>
      <c r="K29" s="57" t="s">
        <v>281</v>
      </c>
      <c r="L29" s="57" t="s">
        <v>218</v>
      </c>
      <c r="M29" s="57" t="s">
        <v>309</v>
      </c>
      <c r="O29" s="69"/>
      <c r="P29" s="57" t="s">
        <v>305</v>
      </c>
    </row>
    <row r="30" spans="1:16" x14ac:dyDescent="0.2">
      <c r="A30" s="1" t="s">
        <v>310</v>
      </c>
      <c r="B30" s="69" t="s">
        <v>215</v>
      </c>
      <c r="C30" s="49">
        <v>1</v>
      </c>
      <c r="D30" s="49">
        <v>6</v>
      </c>
      <c r="E30" s="49">
        <v>14</v>
      </c>
      <c r="F30" s="49">
        <v>16</v>
      </c>
      <c r="G30" s="49" t="e">
        <f>H30&amp;IF(I30="e14fr",IF(Karakterlap!$F$3-14&gt;0,"+"&amp;Karakterlap!$F$3-14,""),IF(I30="e16fr",IF(Karakterlap!$F$3-16&gt;0,"+"&amp;Karakterlap!$F$3-16,""),""))</f>
        <v>#VALUE!</v>
      </c>
      <c r="H30" s="49" t="s">
        <v>263</v>
      </c>
      <c r="I30" s="57" t="s">
        <v>217</v>
      </c>
      <c r="J30" s="57" t="s">
        <v>311</v>
      </c>
      <c r="K30" s="57" t="s">
        <v>285</v>
      </c>
      <c r="L30" s="57" t="s">
        <v>218</v>
      </c>
      <c r="M30" s="57" t="s">
        <v>241</v>
      </c>
      <c r="O30" s="69" t="s">
        <v>237</v>
      </c>
      <c r="P30" s="57" t="s">
        <v>312</v>
      </c>
    </row>
    <row r="31" spans="1:16" x14ac:dyDescent="0.2">
      <c r="A31" s="1" t="s">
        <v>313</v>
      </c>
      <c r="B31" s="69" t="s">
        <v>215</v>
      </c>
      <c r="C31" s="49">
        <v>1</v>
      </c>
      <c r="D31" s="49">
        <v>6</v>
      </c>
      <c r="E31" s="49">
        <v>14</v>
      </c>
      <c r="F31" s="49">
        <v>16</v>
      </c>
      <c r="G31" s="49" t="e">
        <f>H31&amp;IF(I31="e14fr",IF(Karakterlap!$F$3-14&gt;0,"+"&amp;Karakterlap!$F$3-14,""),IF(I31="e16fr",IF(Karakterlap!$F$3-16&gt;0,"+"&amp;Karakterlap!$F$3-16,""),""))</f>
        <v>#VALUE!</v>
      </c>
      <c r="H31" s="49" t="s">
        <v>263</v>
      </c>
      <c r="I31" s="57" t="s">
        <v>217</v>
      </c>
      <c r="J31" s="57" t="s">
        <v>293</v>
      </c>
      <c r="K31" s="57" t="s">
        <v>244</v>
      </c>
      <c r="L31" s="57" t="s">
        <v>218</v>
      </c>
      <c r="M31" s="57" t="s">
        <v>241</v>
      </c>
      <c r="O31" s="69" t="s">
        <v>237</v>
      </c>
      <c r="P31" s="57" t="s">
        <v>305</v>
      </c>
    </row>
    <row r="32" spans="1:16" x14ac:dyDescent="0.2">
      <c r="A32" s="1" t="s">
        <v>314</v>
      </c>
      <c r="B32" s="69" t="s">
        <v>215</v>
      </c>
      <c r="C32" s="49">
        <v>1</v>
      </c>
      <c r="D32" s="49">
        <v>7</v>
      </c>
      <c r="E32" s="49">
        <v>14</v>
      </c>
      <c r="F32" s="49">
        <v>14</v>
      </c>
      <c r="G32" s="49" t="e">
        <f>H32&amp;IF(I32="e14fr",IF(Karakterlap!$F$3-14&gt;0,"+"&amp;Karakterlap!$F$3-14,""),IF(I32="e16fr",IF(Karakterlap!$F$3-16&gt;0,"+"&amp;Karakterlap!$F$3-16,""),""))</f>
        <v>#VALUE!</v>
      </c>
      <c r="H32" s="49" t="s">
        <v>224</v>
      </c>
      <c r="I32" s="57" t="s">
        <v>217</v>
      </c>
      <c r="J32" s="57" t="s">
        <v>274</v>
      </c>
      <c r="K32" s="57" t="s">
        <v>315</v>
      </c>
      <c r="L32" s="57" t="s">
        <v>218</v>
      </c>
      <c r="M32" s="57" t="s">
        <v>226</v>
      </c>
      <c r="O32" s="69" t="s">
        <v>316</v>
      </c>
      <c r="P32" s="57" t="s">
        <v>276</v>
      </c>
    </row>
    <row r="33" spans="1:16" x14ac:dyDescent="0.2">
      <c r="A33" s="1" t="s">
        <v>320</v>
      </c>
      <c r="B33" s="69" t="s">
        <v>215</v>
      </c>
      <c r="C33" s="49">
        <v>1</v>
      </c>
      <c r="D33" s="49">
        <v>8</v>
      </c>
      <c r="E33" s="49">
        <v>10</v>
      </c>
      <c r="F33" s="49">
        <v>2</v>
      </c>
      <c r="G33" s="49" t="e">
        <f>H33&amp;IF(I33="e14fr",IF(Karakterlap!$F$3-14&gt;0,"+"&amp;Karakterlap!$F$3-14,""),IF(I33="e16fr",IF(Karakterlap!$F$3-16&gt;0,"+"&amp;Karakterlap!$F$3-16,""),""))</f>
        <v>#VALUE!</v>
      </c>
      <c r="H33" s="49" t="s">
        <v>254</v>
      </c>
      <c r="I33" s="57" t="s">
        <v>217</v>
      </c>
      <c r="J33" s="57" t="s">
        <v>301</v>
      </c>
      <c r="K33" s="57" t="s">
        <v>321</v>
      </c>
      <c r="L33" s="57" t="s">
        <v>218</v>
      </c>
      <c r="M33" s="57" t="s">
        <v>220</v>
      </c>
      <c r="O33" s="69" t="s">
        <v>237</v>
      </c>
      <c r="P33" s="57" t="s">
        <v>322</v>
      </c>
    </row>
    <row r="34" spans="1:16" s="14" customFormat="1" x14ac:dyDescent="0.2">
      <c r="A34" s="72" t="s">
        <v>323</v>
      </c>
      <c r="B34" s="69" t="s">
        <v>215</v>
      </c>
      <c r="C34" s="63">
        <v>1</v>
      </c>
      <c r="D34" s="49">
        <v>1</v>
      </c>
      <c r="E34" s="49">
        <v>17</v>
      </c>
      <c r="F34" s="63">
        <v>13</v>
      </c>
      <c r="G34" s="49" t="e">
        <f>H34&amp;IF(I34="e14fr",IF(Karakterlap!$F$3-14&gt;0,"+"&amp;Karakterlap!$F$3-14,""),IF(I34="e16fr",IF(Karakterlap!$F$3-16&gt;0,"+"&amp;Karakterlap!$F$3-16,""),""))</f>
        <v>#VALUE!</v>
      </c>
      <c r="H34" s="14" t="s">
        <v>263</v>
      </c>
      <c r="I34" s="57" t="s">
        <v>247</v>
      </c>
      <c r="J34" s="57" t="s">
        <v>266</v>
      </c>
      <c r="K34" s="57" t="s">
        <v>324</v>
      </c>
      <c r="L34" s="57" t="s">
        <v>220</v>
      </c>
      <c r="M34" s="57" t="s">
        <v>241</v>
      </c>
      <c r="O34" s="57" t="s">
        <v>237</v>
      </c>
      <c r="P34" s="57" t="s">
        <v>246</v>
      </c>
    </row>
    <row r="35" spans="1:16" x14ac:dyDescent="0.2">
      <c r="A35" s="1" t="s">
        <v>325</v>
      </c>
      <c r="B35" s="69" t="s">
        <v>215</v>
      </c>
      <c r="C35" s="49">
        <v>2</v>
      </c>
      <c r="D35" s="49">
        <v>10</v>
      </c>
      <c r="E35" s="49">
        <v>4</v>
      </c>
      <c r="F35" s="49">
        <v>0</v>
      </c>
      <c r="G35" s="49" t="e">
        <f>H35&amp;IF(I35="e14fr",IF(Karakterlap!$F$3-14&gt;0,"+"&amp;Karakterlap!$F$3-14,""),IF(I35="e16fr",IF(Karakterlap!$F$3-16&gt;0,"+"&amp;Karakterlap!$F$3-16,""),""))</f>
        <v>#VALUE!</v>
      </c>
      <c r="H35" s="49" t="s">
        <v>300</v>
      </c>
      <c r="I35" s="57" t="s">
        <v>217</v>
      </c>
      <c r="J35" s="57" t="s">
        <v>301</v>
      </c>
      <c r="K35" s="57" t="s">
        <v>326</v>
      </c>
      <c r="L35" s="57" t="s">
        <v>218</v>
      </c>
      <c r="M35" s="57" t="s">
        <v>220</v>
      </c>
      <c r="O35" s="69" t="s">
        <v>237</v>
      </c>
      <c r="P35" s="57" t="s">
        <v>289</v>
      </c>
    </row>
    <row r="36" spans="1:16" x14ac:dyDescent="0.2">
      <c r="A36" s="1" t="s">
        <v>327</v>
      </c>
      <c r="B36" s="69" t="s">
        <v>215</v>
      </c>
      <c r="C36" s="49">
        <v>1</v>
      </c>
      <c r="D36" s="49">
        <v>8</v>
      </c>
      <c r="E36" s="49">
        <v>17</v>
      </c>
      <c r="F36" s="49">
        <v>14</v>
      </c>
      <c r="G36" s="49" t="e">
        <f>H36&amp;IF(I36="e14fr",IF(Karakterlap!$F$3-14&gt;0,"+"&amp;Karakterlap!$F$3-14,""),IF(I36="e16fr",IF(Karakterlap!$F$3-16&gt;0,"+"&amp;Karakterlap!$F$3-16,""),""))</f>
        <v>#VALUE!</v>
      </c>
      <c r="H36" s="49" t="s">
        <v>271</v>
      </c>
      <c r="I36" s="57" t="s">
        <v>217</v>
      </c>
      <c r="J36" s="57" t="s">
        <v>274</v>
      </c>
      <c r="K36" s="57" t="s">
        <v>278</v>
      </c>
      <c r="L36" s="57" t="s">
        <v>218</v>
      </c>
      <c r="M36" s="57" t="s">
        <v>226</v>
      </c>
      <c r="O36" s="69" t="s">
        <v>237</v>
      </c>
      <c r="P36" s="57" t="s">
        <v>305</v>
      </c>
    </row>
    <row r="37" spans="1:16" x14ac:dyDescent="0.2">
      <c r="A37" s="1" t="s">
        <v>328</v>
      </c>
      <c r="B37" s="69" t="s">
        <v>215</v>
      </c>
      <c r="C37" s="49">
        <v>1</v>
      </c>
      <c r="D37" s="49">
        <v>8</v>
      </c>
      <c r="E37" s="49">
        <v>10</v>
      </c>
      <c r="F37" s="49">
        <v>14</v>
      </c>
      <c r="G37" s="49" t="e">
        <f>H37&amp;IF(I37="e14fr",IF(Karakterlap!$F$3-14&gt;0,"+"&amp;Karakterlap!$F$3-14,""),IF(I37="e16fr",IF(Karakterlap!$F$3-16&gt;0,"+"&amp;Karakterlap!$F$3-16,""),""))</f>
        <v>#VALUE!</v>
      </c>
      <c r="H37" s="49" t="s">
        <v>224</v>
      </c>
      <c r="I37" s="57" t="s">
        <v>217</v>
      </c>
      <c r="J37" s="57" t="s">
        <v>329</v>
      </c>
      <c r="K37" s="57" t="s">
        <v>330</v>
      </c>
      <c r="L37" s="57" t="s">
        <v>218</v>
      </c>
      <c r="M37" s="57" t="s">
        <v>226</v>
      </c>
      <c r="O37" s="69" t="s">
        <v>331</v>
      </c>
      <c r="P37" s="57" t="s">
        <v>276</v>
      </c>
    </row>
    <row r="38" spans="1:16" x14ac:dyDescent="0.2">
      <c r="A38" s="1" t="s">
        <v>332</v>
      </c>
      <c r="B38" s="69" t="s">
        <v>215</v>
      </c>
      <c r="C38" s="49">
        <v>1</v>
      </c>
      <c r="D38" s="49">
        <v>6</v>
      </c>
      <c r="E38" s="49">
        <v>14</v>
      </c>
      <c r="F38" s="49">
        <v>15</v>
      </c>
      <c r="G38" s="49" t="e">
        <f>H38&amp;IF(I38="e14fr",IF(Karakterlap!$F$3-14&gt;0,"+"&amp;Karakterlap!$F$3-14,""),IF(I38="e16fr",IF(Karakterlap!$F$3-16&gt;0,"+"&amp;Karakterlap!$F$3-16,""),""))</f>
        <v>#VALUE!</v>
      </c>
      <c r="H38" s="49" t="s">
        <v>263</v>
      </c>
      <c r="I38" s="57" t="s">
        <v>217</v>
      </c>
      <c r="J38" s="57" t="s">
        <v>266</v>
      </c>
      <c r="K38" s="57" t="s">
        <v>333</v>
      </c>
      <c r="L38" s="57" t="s">
        <v>218</v>
      </c>
      <c r="M38" s="57" t="s">
        <v>241</v>
      </c>
      <c r="O38" s="69" t="s">
        <v>237</v>
      </c>
      <c r="P38" s="57" t="s">
        <v>276</v>
      </c>
    </row>
    <row r="39" spans="1:16" x14ac:dyDescent="0.2">
      <c r="A39" s="1" t="s">
        <v>334</v>
      </c>
      <c r="B39" s="69" t="s">
        <v>215</v>
      </c>
      <c r="C39" s="49">
        <v>1</v>
      </c>
      <c r="D39" s="49">
        <v>8</v>
      </c>
      <c r="E39" s="49">
        <v>14</v>
      </c>
      <c r="F39" s="49">
        <v>14</v>
      </c>
      <c r="G39" s="49" t="e">
        <f>H39&amp;IF(I39="e14fr",IF(Karakterlap!$F$3-14&gt;0,"+"&amp;Karakterlap!$F$3-14,""),IF(I39="e16fr",IF(Karakterlap!$F$3-16&gt;0,"+"&amp;Karakterlap!$F$3-16,""),""))</f>
        <v>#VALUE!</v>
      </c>
      <c r="H39" s="49" t="s">
        <v>296</v>
      </c>
      <c r="I39" s="57" t="s">
        <v>217</v>
      </c>
      <c r="J39" s="57" t="s">
        <v>311</v>
      </c>
      <c r="K39" s="57" t="s">
        <v>294</v>
      </c>
      <c r="L39" s="57" t="s">
        <v>218</v>
      </c>
      <c r="M39" s="57" t="s">
        <v>226</v>
      </c>
      <c r="O39" s="69" t="s">
        <v>237</v>
      </c>
      <c r="P39" s="57" t="s">
        <v>276</v>
      </c>
    </row>
    <row r="40" spans="1:16" x14ac:dyDescent="0.2">
      <c r="A40" s="1" t="s">
        <v>335</v>
      </c>
      <c r="B40" s="69" t="s">
        <v>215</v>
      </c>
      <c r="C40" s="49">
        <v>1</v>
      </c>
      <c r="D40" s="49">
        <v>10</v>
      </c>
      <c r="E40" s="49">
        <v>18</v>
      </c>
      <c r="F40" s="49">
        <v>5</v>
      </c>
      <c r="G40" s="49" t="e">
        <f>H40&amp;IF(I40="e14fr",IF(Karakterlap!$F$3-14&gt;0,"+"&amp;Karakterlap!$F$3-14,""),IF(I40="e16fr",IF(Karakterlap!$F$3-16&gt;0,"+"&amp;Karakterlap!$F$3-16,""),""))</f>
        <v>#VALUE!</v>
      </c>
      <c r="H40" s="49" t="s">
        <v>231</v>
      </c>
      <c r="I40" s="57" t="s">
        <v>217</v>
      </c>
      <c r="J40" s="57" t="s">
        <v>301</v>
      </c>
      <c r="K40" s="57" t="s">
        <v>236</v>
      </c>
      <c r="L40" s="57" t="s">
        <v>220</v>
      </c>
      <c r="M40" s="57" t="s">
        <v>220</v>
      </c>
      <c r="O40" s="69" t="s">
        <v>237</v>
      </c>
      <c r="P40" s="57" t="s">
        <v>302</v>
      </c>
    </row>
    <row r="41" spans="1:16" x14ac:dyDescent="0.2">
      <c r="A41" s="1" t="s">
        <v>336</v>
      </c>
      <c r="B41" s="69" t="s">
        <v>215</v>
      </c>
      <c r="C41" s="49">
        <v>2</v>
      </c>
      <c r="D41" s="49">
        <v>9</v>
      </c>
      <c r="E41" s="49">
        <v>9</v>
      </c>
      <c r="F41" s="49">
        <v>2</v>
      </c>
      <c r="G41" s="49" t="e">
        <f>H41&amp;IF(I41="e14fr",IF(Karakterlap!$F$3-14&gt;0,"+"&amp;Karakterlap!$F$3-14,""),IF(I41="e16fr",IF(Karakterlap!$F$3-16&gt;0,"+"&amp;Karakterlap!$F$3-16,""),""))</f>
        <v>#VALUE!</v>
      </c>
      <c r="H41" s="49" t="s">
        <v>254</v>
      </c>
      <c r="I41" s="57" t="s">
        <v>217</v>
      </c>
      <c r="J41" s="57" t="s">
        <v>301</v>
      </c>
      <c r="K41" s="57" t="s">
        <v>294</v>
      </c>
      <c r="L41" s="57" t="s">
        <v>218</v>
      </c>
      <c r="M41" s="57" t="s">
        <v>220</v>
      </c>
      <c r="O41" s="69" t="s">
        <v>237</v>
      </c>
      <c r="P41" s="57" t="s">
        <v>289</v>
      </c>
    </row>
    <row r="42" spans="1:16" x14ac:dyDescent="0.2">
      <c r="A42" s="1" t="s">
        <v>337</v>
      </c>
      <c r="B42" s="69" t="s">
        <v>215</v>
      </c>
      <c r="C42" s="49">
        <v>1</v>
      </c>
      <c r="D42" s="49">
        <v>2</v>
      </c>
      <c r="E42" s="49">
        <v>10</v>
      </c>
      <c r="F42" s="49">
        <v>7</v>
      </c>
      <c r="G42" s="49" t="e">
        <f>H42&amp;IF(I42="e14fr",IF(Karakterlap!$F$3-14&gt;0,"+"&amp;Karakterlap!$F$3-14,""),IF(I42="e16fr",IF(Karakterlap!$F$3-16&gt;0,"+"&amp;Karakterlap!$F$3-16,""),""))</f>
        <v>#VALUE!</v>
      </c>
      <c r="H42" s="49" t="s">
        <v>307</v>
      </c>
      <c r="I42" s="57" t="s">
        <v>247</v>
      </c>
      <c r="J42" s="57" t="s">
        <v>338</v>
      </c>
      <c r="K42" s="57" t="s">
        <v>278</v>
      </c>
      <c r="L42" s="57" t="s">
        <v>218</v>
      </c>
      <c r="M42" s="57" t="s">
        <v>268</v>
      </c>
      <c r="O42" s="69" t="s">
        <v>237</v>
      </c>
      <c r="P42" s="57" t="s">
        <v>312</v>
      </c>
    </row>
    <row r="43" spans="1:16" x14ac:dyDescent="0.2">
      <c r="A43" s="69" t="s">
        <v>631</v>
      </c>
      <c r="B43" s="69" t="s">
        <v>215</v>
      </c>
      <c r="C43" s="57" t="s">
        <v>220</v>
      </c>
      <c r="D43" s="49">
        <v>10</v>
      </c>
      <c r="E43" s="49">
        <v>8</v>
      </c>
      <c r="F43" s="49">
        <v>5</v>
      </c>
      <c r="G43" s="49" t="e">
        <f>H43&amp;IF(I43="e14fr",IF(Karakterlap!$F$3-14&gt;0,"+"&amp;Karakterlap!$F$3-14,""),IF(I43="e16fr",IF(Karakterlap!$F$3-16&gt;0,"+"&amp;Karakterlap!$F$3-16,""),""))</f>
        <v>#VALUE!</v>
      </c>
      <c r="H43" s="49" t="s">
        <v>254</v>
      </c>
      <c r="I43" s="57" t="s">
        <v>217</v>
      </c>
      <c r="J43" s="57" t="s">
        <v>377</v>
      </c>
      <c r="K43" s="57" t="s">
        <v>251</v>
      </c>
      <c r="L43" s="57" t="s">
        <v>218</v>
      </c>
      <c r="M43" s="57" t="s">
        <v>632</v>
      </c>
      <c r="O43" s="69" t="s">
        <v>237</v>
      </c>
      <c r="P43" s="57" t="s">
        <v>623</v>
      </c>
    </row>
    <row r="44" spans="1:16" x14ac:dyDescent="0.2">
      <c r="A44" s="27" t="s">
        <v>342</v>
      </c>
      <c r="B44" s="69" t="s">
        <v>215</v>
      </c>
      <c r="C44" s="63">
        <v>1</v>
      </c>
      <c r="D44" s="63">
        <v>7</v>
      </c>
      <c r="E44" s="63">
        <v>16</v>
      </c>
      <c r="F44" s="63">
        <v>14</v>
      </c>
      <c r="G44" s="49" t="e">
        <f>H44&amp;IF(I44="e14fr",IF(Karakterlap!$F$3-14&gt;0,"+"&amp;Karakterlap!$F$3-14,""),IF(I44="e16fr",IF(Karakterlap!$F$3-16&gt;0,"+"&amp;Karakterlap!$F$3-16,""),""))</f>
        <v>#VALUE!</v>
      </c>
      <c r="H44" s="49" t="s">
        <v>307</v>
      </c>
      <c r="I44" s="57" t="s">
        <v>217</v>
      </c>
      <c r="J44" s="57" t="s">
        <v>218</v>
      </c>
      <c r="K44" s="57" t="s">
        <v>251</v>
      </c>
      <c r="L44" s="57" t="s">
        <v>220</v>
      </c>
      <c r="M44" s="57" t="s">
        <v>268</v>
      </c>
      <c r="N44" s="14"/>
      <c r="O44" s="57" t="s">
        <v>237</v>
      </c>
      <c r="P44" s="57" t="s">
        <v>276</v>
      </c>
    </row>
    <row r="45" spans="1:16" x14ac:dyDescent="0.2">
      <c r="A45" s="27" t="s">
        <v>344</v>
      </c>
      <c r="B45" s="69" t="s">
        <v>215</v>
      </c>
      <c r="C45" s="63">
        <v>1</v>
      </c>
      <c r="D45" s="63">
        <v>4</v>
      </c>
      <c r="E45" s="63">
        <v>13</v>
      </c>
      <c r="F45" s="63">
        <v>12</v>
      </c>
      <c r="G45" s="49" t="e">
        <f>H45&amp;IF(I45="e14fr",IF(Karakterlap!$F$3-14&gt;0,"+"&amp;Karakterlap!$F$3-14,""),IF(I45="e16fr",IF(Karakterlap!$F$3-16&gt;0,"+"&amp;Karakterlap!$F$3-16,""),""))</f>
        <v>#VALUE!</v>
      </c>
      <c r="H45" s="49" t="s">
        <v>345</v>
      </c>
      <c r="I45" s="57" t="s">
        <v>247</v>
      </c>
      <c r="J45" s="57" t="s">
        <v>220</v>
      </c>
      <c r="K45" s="57" t="s">
        <v>346</v>
      </c>
      <c r="L45" s="57" t="s">
        <v>220</v>
      </c>
      <c r="M45" s="57" t="s">
        <v>268</v>
      </c>
      <c r="N45" s="14"/>
      <c r="O45" s="57" t="s">
        <v>237</v>
      </c>
      <c r="P45" s="57" t="s">
        <v>312</v>
      </c>
    </row>
    <row r="46" spans="1:16" x14ac:dyDescent="0.2">
      <c r="A46" s="1" t="s">
        <v>339</v>
      </c>
      <c r="B46" s="69" t="s">
        <v>215</v>
      </c>
      <c r="C46" s="49">
        <v>1</v>
      </c>
      <c r="D46" s="49">
        <v>9</v>
      </c>
      <c r="E46" s="49">
        <v>13</v>
      </c>
      <c r="F46" s="49">
        <v>16</v>
      </c>
      <c r="G46" s="49" t="e">
        <f>H46&amp;IF(I46="e14fr",IF(Karakterlap!$F$3-14&gt;0,"+"&amp;Karakterlap!$F$3-14,""),IF(I46="e16fr",IF(Karakterlap!$F$3-16&gt;0,"+"&amp;Karakterlap!$F$3-16,""),""))</f>
        <v>#VALUE!</v>
      </c>
      <c r="H46" s="49" t="s">
        <v>271</v>
      </c>
      <c r="I46" s="57" t="s">
        <v>217</v>
      </c>
      <c r="J46" s="57" t="s">
        <v>218</v>
      </c>
      <c r="K46" s="57" t="s">
        <v>236</v>
      </c>
      <c r="L46" s="57" t="s">
        <v>218</v>
      </c>
      <c r="M46" s="57" t="s">
        <v>259</v>
      </c>
      <c r="O46" s="69" t="s">
        <v>340</v>
      </c>
      <c r="P46" s="57" t="s">
        <v>341</v>
      </c>
    </row>
    <row r="47" spans="1:16" x14ac:dyDescent="0.2">
      <c r="A47" s="1" t="s">
        <v>347</v>
      </c>
      <c r="B47" s="69" t="s">
        <v>215</v>
      </c>
      <c r="C47" s="49">
        <v>1</v>
      </c>
      <c r="D47" s="49">
        <v>1</v>
      </c>
      <c r="E47" s="49">
        <v>4</v>
      </c>
      <c r="F47" s="49">
        <v>5</v>
      </c>
      <c r="G47" s="49" t="e">
        <f>H47&amp;IF(I47="e14fr",IF(Karakterlap!$F$3-14&gt;0,"+"&amp;Karakterlap!$F$3-14,""),IF(I47="e16fr",IF(Karakterlap!$F$3-16&gt;0,"+"&amp;Karakterlap!$F$3-16,""),""))</f>
        <v>#VALUE!</v>
      </c>
      <c r="H47" s="49" t="s">
        <v>348</v>
      </c>
      <c r="I47" s="57" t="s">
        <v>217</v>
      </c>
      <c r="J47" s="57" t="s">
        <v>280</v>
      </c>
      <c r="K47" s="57" t="s">
        <v>330</v>
      </c>
      <c r="L47" s="57" t="s">
        <v>218</v>
      </c>
      <c r="M47" s="57" t="s">
        <v>241</v>
      </c>
      <c r="O47" s="69" t="s">
        <v>349</v>
      </c>
      <c r="P47" s="57" t="s">
        <v>276</v>
      </c>
    </row>
    <row r="48" spans="1:16" x14ac:dyDescent="0.2">
      <c r="A48" s="1" t="s">
        <v>350</v>
      </c>
      <c r="B48" s="69" t="s">
        <v>215</v>
      </c>
      <c r="C48" s="49">
        <v>2</v>
      </c>
      <c r="D48" s="49">
        <v>10</v>
      </c>
      <c r="E48" s="49">
        <v>8</v>
      </c>
      <c r="F48" s="49">
        <v>2</v>
      </c>
      <c r="G48" s="49" t="e">
        <f>H48&amp;IF(I48="e14fr",IF(Karakterlap!$F$3-14&gt;0,"+"&amp;Karakterlap!$F$3-14,""),IF(I48="e16fr",IF(Karakterlap!$F$3-16&gt;0,"+"&amp;Karakterlap!$F$3-16,""),""))</f>
        <v>#VALUE!</v>
      </c>
      <c r="H48" s="49" t="s">
        <v>231</v>
      </c>
      <c r="I48" s="57" t="s">
        <v>217</v>
      </c>
      <c r="J48" s="57" t="s">
        <v>351</v>
      </c>
      <c r="K48" s="57" t="s">
        <v>251</v>
      </c>
      <c r="L48" s="57" t="s">
        <v>218</v>
      </c>
      <c r="M48" s="57" t="s">
        <v>218</v>
      </c>
      <c r="O48" s="69" t="s">
        <v>237</v>
      </c>
      <c r="P48" s="57" t="s">
        <v>238</v>
      </c>
    </row>
    <row r="49" spans="1:16" x14ac:dyDescent="0.2">
      <c r="A49" s="1" t="s">
        <v>352</v>
      </c>
      <c r="B49" s="69" t="s">
        <v>215</v>
      </c>
      <c r="C49" s="49">
        <v>1</v>
      </c>
      <c r="D49" s="49">
        <v>7</v>
      </c>
      <c r="E49" s="49">
        <v>16</v>
      </c>
      <c r="F49" s="49">
        <v>14</v>
      </c>
      <c r="G49" s="49" t="e">
        <f>H49&amp;IF(I49="e14fr",IF(Karakterlap!$F$3-14&gt;0,"+"&amp;Karakterlap!$F$3-14,""),IF(I49="e16fr",IF(Karakterlap!$F$3-16&gt;0,"+"&amp;Karakterlap!$F$3-16,""),""))</f>
        <v>#VALUE!</v>
      </c>
      <c r="H49" s="49" t="s">
        <v>263</v>
      </c>
      <c r="I49" s="57" t="s">
        <v>217</v>
      </c>
      <c r="J49" s="57" t="s">
        <v>266</v>
      </c>
      <c r="K49" s="57" t="s">
        <v>353</v>
      </c>
      <c r="L49" s="57" t="s">
        <v>218</v>
      </c>
      <c r="M49" s="57" t="s">
        <v>241</v>
      </c>
      <c r="O49" s="69" t="s">
        <v>237</v>
      </c>
      <c r="P49" s="57" t="s">
        <v>276</v>
      </c>
    </row>
    <row r="50" spans="1:16" x14ac:dyDescent="0.2">
      <c r="A50" s="1" t="s">
        <v>354</v>
      </c>
      <c r="B50" s="69" t="s">
        <v>215</v>
      </c>
      <c r="C50" s="49">
        <v>2</v>
      </c>
      <c r="D50" s="49">
        <v>10</v>
      </c>
      <c r="E50" s="49">
        <v>9</v>
      </c>
      <c r="F50" s="49">
        <v>1</v>
      </c>
      <c r="G50" s="49" t="e">
        <f>H50&amp;IF(I50="e14fr",IF(Karakterlap!$F$3-14&gt;0,"+"&amp;Karakterlap!$F$3-14,""),IF(I50="e16fr",IF(Karakterlap!$F$3-16&gt;0,"+"&amp;Karakterlap!$F$3-16,""),""))</f>
        <v>#VALUE!</v>
      </c>
      <c r="H50" s="49" t="s">
        <v>231</v>
      </c>
      <c r="I50" s="57" t="s">
        <v>217</v>
      </c>
      <c r="J50" s="49">
        <v>0.3</v>
      </c>
      <c r="K50" s="49" t="s">
        <v>355</v>
      </c>
      <c r="L50" s="57" t="s">
        <v>218</v>
      </c>
      <c r="M50" s="57" t="s">
        <v>220</v>
      </c>
      <c r="O50" s="69" t="s">
        <v>356</v>
      </c>
      <c r="P50" s="57" t="s">
        <v>222</v>
      </c>
    </row>
    <row r="51" spans="1:16" x14ac:dyDescent="0.2">
      <c r="A51" s="1" t="s">
        <v>357</v>
      </c>
      <c r="B51" s="69" t="s">
        <v>215</v>
      </c>
      <c r="C51" s="49">
        <v>1</v>
      </c>
      <c r="D51" s="49">
        <v>7</v>
      </c>
      <c r="E51" s="49">
        <v>15</v>
      </c>
      <c r="F51" s="49">
        <v>14</v>
      </c>
      <c r="G51" s="49" t="e">
        <f>H51&amp;IF(I51="e14fr",IF(Karakterlap!$F$3-14&gt;0,"+"&amp;Karakterlap!$F$3-14,""),IF(I51="e16fr",IF(Karakterlap!$F$3-16&gt;0,"+"&amp;Karakterlap!$F$3-16,""),""))</f>
        <v>#VALUE!</v>
      </c>
      <c r="H51" s="49" t="s">
        <v>263</v>
      </c>
      <c r="I51" s="57" t="s">
        <v>217</v>
      </c>
      <c r="J51" s="49">
        <v>1.2</v>
      </c>
      <c r="K51" s="49" t="s">
        <v>358</v>
      </c>
      <c r="L51" s="57" t="s">
        <v>218</v>
      </c>
      <c r="M51" s="57" t="s">
        <v>241</v>
      </c>
      <c r="O51" s="69" t="s">
        <v>237</v>
      </c>
      <c r="P51" s="57" t="s">
        <v>242</v>
      </c>
    </row>
    <row r="52" spans="1:16" x14ac:dyDescent="0.2">
      <c r="A52" s="27" t="s">
        <v>359</v>
      </c>
      <c r="B52" s="69" t="s">
        <v>215</v>
      </c>
      <c r="C52" s="73">
        <v>0.5</v>
      </c>
      <c r="D52" s="27">
        <v>0</v>
      </c>
      <c r="E52" s="27">
        <v>7</v>
      </c>
      <c r="F52" s="27">
        <v>1</v>
      </c>
      <c r="G52" s="49" t="e">
        <f>H52&amp;IF(I52="e14fr",IF(Karakterlap!$F$3-14&gt;0,"+"&amp;Karakterlap!$F$3-14,""),IF(I52="e16fr",IF(Karakterlap!$F$3-16&gt;0,"+"&amp;Karakterlap!$F$3-16,""),""))</f>
        <v>#VALUE!</v>
      </c>
      <c r="H52" s="49" t="s">
        <v>360</v>
      </c>
      <c r="I52" s="71" t="s">
        <v>247</v>
      </c>
      <c r="J52" s="27">
        <v>7</v>
      </c>
      <c r="K52" s="27" t="s">
        <v>361</v>
      </c>
      <c r="L52" s="57" t="s">
        <v>220</v>
      </c>
      <c r="M52" s="71" t="s">
        <v>362</v>
      </c>
      <c r="O52" s="69" t="s">
        <v>363</v>
      </c>
      <c r="P52" s="71" t="s">
        <v>242</v>
      </c>
    </row>
    <row r="53" spans="1:16" x14ac:dyDescent="0.2">
      <c r="A53" s="1" t="s">
        <v>364</v>
      </c>
      <c r="B53" s="69" t="s">
        <v>215</v>
      </c>
      <c r="C53" s="49">
        <v>1</v>
      </c>
      <c r="D53" s="49">
        <v>3</v>
      </c>
      <c r="E53" s="49">
        <v>10</v>
      </c>
      <c r="F53" s="49">
        <v>10</v>
      </c>
      <c r="G53" s="49" t="e">
        <f>H53&amp;IF(I53="e14fr",IF(Karakterlap!$F$3-14&gt;0,"+"&amp;Karakterlap!$F$3-14,""),IF(I53="e16fr",IF(Karakterlap!$F$3-16&gt;0,"+"&amp;Karakterlap!$F$3-16,""),""))</f>
        <v>#VALUE!</v>
      </c>
      <c r="H53" s="49" t="s">
        <v>231</v>
      </c>
      <c r="I53" s="57" t="s">
        <v>217</v>
      </c>
      <c r="J53" s="57" t="s">
        <v>365</v>
      </c>
      <c r="K53" s="57" t="s">
        <v>366</v>
      </c>
      <c r="L53" s="57" t="s">
        <v>220</v>
      </c>
      <c r="M53" s="57" t="s">
        <v>220</v>
      </c>
      <c r="O53" s="69" t="s">
        <v>237</v>
      </c>
      <c r="P53" s="57"/>
    </row>
    <row r="54" spans="1:16" x14ac:dyDescent="0.2">
      <c r="A54" s="1" t="s">
        <v>367</v>
      </c>
      <c r="B54" s="69" t="s">
        <v>215</v>
      </c>
      <c r="C54" s="49">
        <v>2</v>
      </c>
      <c r="D54" s="49">
        <v>10</v>
      </c>
      <c r="E54" s="49">
        <v>9</v>
      </c>
      <c r="F54" s="49">
        <v>2</v>
      </c>
      <c r="G54" s="49" t="e">
        <f>H54&amp;IF(I54="e14fr",IF(Karakterlap!$F$3-14&gt;0,"+"&amp;Karakterlap!$F$3-14,""),IF(I54="e16fr",IF(Karakterlap!$F$3-16&gt;0,"+"&amp;Karakterlap!$F$3-16,""),""))</f>
        <v>#VALUE!</v>
      </c>
      <c r="H54" s="49" t="s">
        <v>231</v>
      </c>
      <c r="I54" s="57" t="s">
        <v>217</v>
      </c>
      <c r="J54" s="57" t="s">
        <v>301</v>
      </c>
      <c r="K54" s="57" t="s">
        <v>368</v>
      </c>
      <c r="L54" s="57" t="s">
        <v>218</v>
      </c>
      <c r="M54" s="57" t="s">
        <v>220</v>
      </c>
      <c r="O54" s="69" t="s">
        <v>237</v>
      </c>
      <c r="P54" s="57" t="s">
        <v>238</v>
      </c>
    </row>
    <row r="55" spans="1:16" x14ac:dyDescent="0.2">
      <c r="A55" s="27" t="s">
        <v>369</v>
      </c>
      <c r="B55" s="69" t="s">
        <v>215</v>
      </c>
      <c r="C55" s="73">
        <v>0.5</v>
      </c>
      <c r="D55" s="27">
        <v>0</v>
      </c>
      <c r="E55" s="27">
        <v>6</v>
      </c>
      <c r="F55" s="27">
        <v>2</v>
      </c>
      <c r="G55" s="49" t="e">
        <f>H55&amp;IF(I55="e14fr",IF(Karakterlap!$F$3-14&gt;0,"+"&amp;Karakterlap!$F$3-14,""),IF(I55="e16fr",IF(Karakterlap!$F$3-16&gt;0,"+"&amp;Karakterlap!$F$3-16,""),""))</f>
        <v>#VALUE!</v>
      </c>
      <c r="H55" s="49" t="s">
        <v>637</v>
      </c>
      <c r="I55" s="71" t="s">
        <v>247</v>
      </c>
      <c r="J55" s="71" t="s">
        <v>268</v>
      </c>
      <c r="K55" s="71" t="s">
        <v>294</v>
      </c>
      <c r="L55" s="57" t="s">
        <v>220</v>
      </c>
      <c r="M55" s="71" t="s">
        <v>362</v>
      </c>
      <c r="O55" s="69" t="s">
        <v>237</v>
      </c>
      <c r="P55" s="71" t="s">
        <v>312</v>
      </c>
    </row>
    <row r="56" spans="1:16" x14ac:dyDescent="0.2">
      <c r="A56" s="1" t="s">
        <v>634</v>
      </c>
      <c r="B56" s="69" t="s">
        <v>215</v>
      </c>
      <c r="C56" s="49">
        <v>1</v>
      </c>
      <c r="D56" s="49">
        <v>7</v>
      </c>
      <c r="E56" s="49">
        <v>16</v>
      </c>
      <c r="F56" s="49">
        <v>15</v>
      </c>
      <c r="G56" s="49" t="e">
        <f>H56&amp;IF(I56="e14fr",IF(Karakterlap!$F$3-14&gt;0,"+"&amp;Karakterlap!$F$3-14,""),IF(I56="e16fr",IF(Karakterlap!$F$3-16&gt;0,"+"&amp;Karakterlap!$F$3-16,""),""))</f>
        <v>#VALUE!</v>
      </c>
      <c r="H56" s="49" t="s">
        <v>263</v>
      </c>
      <c r="I56" s="57" t="s">
        <v>217</v>
      </c>
      <c r="J56" s="57" t="s">
        <v>370</v>
      </c>
      <c r="K56" s="57" t="s">
        <v>251</v>
      </c>
      <c r="L56" s="57" t="s">
        <v>218</v>
      </c>
      <c r="M56" s="57" t="s">
        <v>241</v>
      </c>
      <c r="O56" s="69" t="s">
        <v>237</v>
      </c>
      <c r="P56" s="57" t="s">
        <v>276</v>
      </c>
    </row>
    <row r="57" spans="1:16" x14ac:dyDescent="0.2">
      <c r="A57" s="1" t="s">
        <v>371</v>
      </c>
      <c r="B57" s="69" t="s">
        <v>215</v>
      </c>
      <c r="C57" s="49">
        <v>2</v>
      </c>
      <c r="D57" s="49">
        <v>12</v>
      </c>
      <c r="E57" s="49">
        <v>6</v>
      </c>
      <c r="F57" s="49">
        <v>4</v>
      </c>
      <c r="G57" s="49" t="e">
        <f>H57&amp;IF(I57="e14fr",IF(Karakterlap!$F$3-14&gt;0,"+"&amp;Karakterlap!$F$3-14,""),IF(I57="e16fr",IF(Karakterlap!$F$3-16&gt;0,"+"&amp;Karakterlap!$F$3-16,""),""))</f>
        <v>#VALUE!</v>
      </c>
      <c r="H57" s="49" t="s">
        <v>231</v>
      </c>
      <c r="I57" s="57" t="s">
        <v>217</v>
      </c>
      <c r="J57" s="57" t="s">
        <v>318</v>
      </c>
      <c r="K57" s="57" t="s">
        <v>244</v>
      </c>
      <c r="L57" s="57" t="s">
        <v>218</v>
      </c>
      <c r="M57" s="57" t="s">
        <v>220</v>
      </c>
      <c r="O57" s="69" t="s">
        <v>237</v>
      </c>
      <c r="P57" s="57" t="s">
        <v>289</v>
      </c>
    </row>
    <row r="58" spans="1:16" x14ac:dyDescent="0.2">
      <c r="A58" s="1" t="s">
        <v>372</v>
      </c>
      <c r="B58" s="69" t="s">
        <v>215</v>
      </c>
      <c r="C58" s="49">
        <v>2</v>
      </c>
      <c r="D58" s="49">
        <v>8</v>
      </c>
      <c r="E58" s="49">
        <v>17</v>
      </c>
      <c r="F58" s="49">
        <v>14</v>
      </c>
      <c r="G58" s="49" t="str">
        <f>H58&amp;IF(I58="e14fr",IF(Karakterlap!$F$3-14&gt;0,"+"&amp;Karakterlap!$F$3-14,""),IF(I58="e16fr",IF(Karakterlap!$F$3-16&gt;0,"+"&amp;Karakterlap!$F$3-16,""),""))</f>
        <v>K6+1</v>
      </c>
      <c r="H58" s="49" t="s">
        <v>254</v>
      </c>
      <c r="I58" s="57" t="s">
        <v>219</v>
      </c>
      <c r="J58" s="57" t="s">
        <v>274</v>
      </c>
      <c r="K58" s="57" t="s">
        <v>251</v>
      </c>
      <c r="L58" s="57" t="s">
        <v>218</v>
      </c>
      <c r="M58" s="57" t="s">
        <v>275</v>
      </c>
      <c r="O58" s="69" t="s">
        <v>237</v>
      </c>
      <c r="P58" s="57" t="s">
        <v>289</v>
      </c>
    </row>
    <row r="59" spans="1:16" x14ac:dyDescent="0.2">
      <c r="A59" s="1" t="s">
        <v>373</v>
      </c>
      <c r="B59" s="69" t="s">
        <v>215</v>
      </c>
      <c r="C59" s="49">
        <v>1</v>
      </c>
      <c r="D59" s="49">
        <v>9</v>
      </c>
      <c r="E59" s="49">
        <v>12</v>
      </c>
      <c r="F59" s="49">
        <v>14</v>
      </c>
      <c r="G59" s="49" t="e">
        <f>H59&amp;IF(I59="e14fr",IF(Karakterlap!$F$3-14&gt;0,"+"&amp;Karakterlap!$F$3-14,""),IF(I59="e16fr",IF(Karakterlap!$F$3-16&gt;0,"+"&amp;Karakterlap!$F$3-16,""),""))</f>
        <v>#VALUE!</v>
      </c>
      <c r="H59" s="49" t="s">
        <v>254</v>
      </c>
      <c r="I59" s="57" t="s">
        <v>217</v>
      </c>
      <c r="J59" s="57" t="s">
        <v>218</v>
      </c>
      <c r="K59" s="57" t="s">
        <v>244</v>
      </c>
      <c r="L59" s="57" t="s">
        <v>218</v>
      </c>
      <c r="M59" s="57" t="s">
        <v>275</v>
      </c>
      <c r="O59" s="69" t="s">
        <v>237</v>
      </c>
      <c r="P59" s="57" t="s">
        <v>312</v>
      </c>
    </row>
    <row r="60" spans="1:16" x14ac:dyDescent="0.2">
      <c r="A60" s="1" t="s">
        <v>374</v>
      </c>
      <c r="B60" s="69" t="s">
        <v>215</v>
      </c>
      <c r="C60" s="49">
        <v>2</v>
      </c>
      <c r="D60" s="49">
        <v>9</v>
      </c>
      <c r="E60" s="49">
        <v>10</v>
      </c>
      <c r="F60" s="49">
        <v>18</v>
      </c>
      <c r="G60" s="49" t="e">
        <f>H60&amp;IF(I60="e14fr",IF(Karakterlap!$F$3-14&gt;0,"+"&amp;Karakterlap!$F$3-14,""),IF(I60="e16fr",IF(Karakterlap!$F$3-16&gt;0,"+"&amp;Karakterlap!$F$3-16,""),""))</f>
        <v>#VALUE!</v>
      </c>
      <c r="H60" s="49" t="s">
        <v>231</v>
      </c>
      <c r="I60" s="57" t="s">
        <v>217</v>
      </c>
      <c r="J60" s="57" t="s">
        <v>301</v>
      </c>
      <c r="K60" s="57" t="s">
        <v>368</v>
      </c>
      <c r="L60" s="57" t="s">
        <v>218</v>
      </c>
      <c r="M60" s="57" t="s">
        <v>237</v>
      </c>
      <c r="O60" s="69" t="s">
        <v>237</v>
      </c>
      <c r="P60" s="57" t="s">
        <v>302</v>
      </c>
    </row>
    <row r="61" spans="1:16" x14ac:dyDescent="0.2">
      <c r="A61" s="1" t="s">
        <v>375</v>
      </c>
      <c r="B61" s="69" t="s">
        <v>215</v>
      </c>
      <c r="C61" s="49">
        <v>2</v>
      </c>
      <c r="D61" s="49">
        <v>10</v>
      </c>
      <c r="E61" s="49">
        <v>8</v>
      </c>
      <c r="F61" s="49">
        <v>4</v>
      </c>
      <c r="G61" s="49" t="e">
        <f>H61&amp;IF(I61="e14fr",IF(Karakterlap!$F$3-14&gt;0,"+"&amp;Karakterlap!$F$3-14,""),IF(I61="e16fr",IF(Karakterlap!$F$3-16&gt;0,"+"&amp;Karakterlap!$F$3-16,""),""))</f>
        <v>#VALUE!</v>
      </c>
      <c r="H61" s="49" t="s">
        <v>231</v>
      </c>
      <c r="I61" s="57" t="s">
        <v>217</v>
      </c>
      <c r="J61" s="57" t="s">
        <v>225</v>
      </c>
      <c r="K61" s="57" t="s">
        <v>368</v>
      </c>
      <c r="L61" s="57" t="s">
        <v>218</v>
      </c>
      <c r="M61" s="57" t="s">
        <v>220</v>
      </c>
      <c r="O61" s="69" t="s">
        <v>237</v>
      </c>
      <c r="P61" s="57" t="s">
        <v>238</v>
      </c>
    </row>
    <row r="62" spans="1:16" x14ac:dyDescent="0.2">
      <c r="A62" s="1" t="s">
        <v>376</v>
      </c>
      <c r="B62" s="69" t="s">
        <v>215</v>
      </c>
      <c r="C62" s="49">
        <v>2</v>
      </c>
      <c r="D62" s="49">
        <v>8</v>
      </c>
      <c r="E62" s="49">
        <v>13</v>
      </c>
      <c r="F62" s="49">
        <v>16</v>
      </c>
      <c r="G62" s="49" t="e">
        <f>H62&amp;IF(I62="e14fr",IF(Karakterlap!$F$3-14&gt;0,"+"&amp;Karakterlap!$F$3-14,""),IF(I62="e16fr",IF(Karakterlap!$F$3-16&gt;0,"+"&amp;Karakterlap!$F$3-16,""),""))</f>
        <v>#VALUE!</v>
      </c>
      <c r="H62" s="49" t="s">
        <v>224</v>
      </c>
      <c r="I62" s="57" t="s">
        <v>217</v>
      </c>
      <c r="J62" s="57" t="s">
        <v>377</v>
      </c>
      <c r="K62" s="57" t="s">
        <v>378</v>
      </c>
      <c r="L62" s="57" t="s">
        <v>218</v>
      </c>
      <c r="M62" s="57" t="s">
        <v>259</v>
      </c>
      <c r="O62" s="69" t="s">
        <v>237</v>
      </c>
      <c r="P62" s="57" t="s">
        <v>289</v>
      </c>
    </row>
    <row r="63" spans="1:16" x14ac:dyDescent="0.2">
      <c r="A63" s="27" t="s">
        <v>379</v>
      </c>
      <c r="B63" s="69" t="s">
        <v>215</v>
      </c>
      <c r="C63" s="63">
        <v>1</v>
      </c>
      <c r="D63" s="63">
        <v>8</v>
      </c>
      <c r="E63" s="63">
        <v>20</v>
      </c>
      <c r="F63" s="63">
        <v>12</v>
      </c>
      <c r="G63" s="49" t="e">
        <f>H63&amp;IF(I63="e14fr",IF(Karakterlap!$F$3-14&gt;0,"+"&amp;Karakterlap!$F$3-14,""),IF(I63="e16fr",IF(Karakterlap!$F$3-16&gt;0,"+"&amp;Karakterlap!$F$3-16,""),""))</f>
        <v>#VALUE!</v>
      </c>
      <c r="H63" s="49" t="s">
        <v>380</v>
      </c>
      <c r="I63" s="57" t="s">
        <v>217</v>
      </c>
      <c r="J63" s="57" t="s">
        <v>266</v>
      </c>
      <c r="K63" s="57" t="s">
        <v>381</v>
      </c>
      <c r="L63" s="57" t="s">
        <v>220</v>
      </c>
      <c r="M63" s="57" t="s">
        <v>241</v>
      </c>
      <c r="N63" s="14"/>
      <c r="O63" s="57" t="s">
        <v>237</v>
      </c>
      <c r="P63" s="57" t="s">
        <v>276</v>
      </c>
    </row>
    <row r="64" spans="1:16" x14ac:dyDescent="0.2">
      <c r="A64" s="1" t="s">
        <v>382</v>
      </c>
      <c r="B64" s="69" t="s">
        <v>215</v>
      </c>
      <c r="C64" s="49">
        <v>2</v>
      </c>
      <c r="D64" s="49">
        <v>9</v>
      </c>
      <c r="E64" s="49">
        <v>14</v>
      </c>
      <c r="F64" s="49">
        <v>6</v>
      </c>
      <c r="G64" s="49" t="e">
        <f>H64&amp;IF(I64="e14fr",IF(Karakterlap!$F$3-14&gt;0,"+"&amp;Karakterlap!$F$3-14,""),IF(I64="e16fr",IF(Karakterlap!$F$3-16&gt;0,"+"&amp;Karakterlap!$F$3-16,""),""))</f>
        <v>#VALUE!</v>
      </c>
      <c r="H64" s="49" t="s">
        <v>224</v>
      </c>
      <c r="I64" s="57" t="s">
        <v>217</v>
      </c>
      <c r="J64" s="57" t="s">
        <v>274</v>
      </c>
      <c r="K64" s="57" t="s">
        <v>383</v>
      </c>
      <c r="L64" s="57" t="s">
        <v>218</v>
      </c>
      <c r="M64" s="57" t="s">
        <v>220</v>
      </c>
      <c r="O64" s="69" t="s">
        <v>237</v>
      </c>
      <c r="P64" s="57" t="s">
        <v>289</v>
      </c>
    </row>
    <row r="65" spans="1:16" x14ac:dyDescent="0.2">
      <c r="A65" s="1" t="s">
        <v>384</v>
      </c>
      <c r="B65" s="69" t="s">
        <v>215</v>
      </c>
      <c r="C65" s="49">
        <v>1</v>
      </c>
      <c r="D65" s="49">
        <v>9</v>
      </c>
      <c r="E65" s="49">
        <v>13</v>
      </c>
      <c r="F65" s="49">
        <v>12</v>
      </c>
      <c r="G65" s="49" t="e">
        <f>H65&amp;IF(I65="e14fr",IF(Karakterlap!$F$3-14&gt;0,"+"&amp;Karakterlap!$F$3-14,""),IF(I65="e16fr",IF(Karakterlap!$F$3-16&gt;0,"+"&amp;Karakterlap!$F$3-16,""),""))</f>
        <v>#VALUE!</v>
      </c>
      <c r="H65" s="49" t="s">
        <v>254</v>
      </c>
      <c r="I65" s="57" t="s">
        <v>217</v>
      </c>
      <c r="J65" s="49">
        <v>1</v>
      </c>
      <c r="K65" s="49" t="s">
        <v>272</v>
      </c>
      <c r="L65" s="57" t="s">
        <v>218</v>
      </c>
      <c r="M65" s="57" t="s">
        <v>275</v>
      </c>
      <c r="O65" s="69" t="s">
        <v>385</v>
      </c>
      <c r="P65" s="57" t="s">
        <v>242</v>
      </c>
    </row>
    <row r="66" spans="1:16" x14ac:dyDescent="0.2">
      <c r="A66" s="1" t="s">
        <v>386</v>
      </c>
      <c r="B66" s="69" t="s">
        <v>215</v>
      </c>
      <c r="C66" s="49">
        <v>2</v>
      </c>
      <c r="D66" s="49">
        <v>9</v>
      </c>
      <c r="E66" s="49">
        <v>14</v>
      </c>
      <c r="F66" s="49">
        <v>6</v>
      </c>
      <c r="G66" s="49" t="e">
        <f>H66&amp;IF(I66="e14fr",IF(Karakterlap!$F$3-14&gt;0,"+"&amp;Karakterlap!$F$3-14,""),IF(I66="e16fr",IF(Karakterlap!$F$3-16&gt;0,"+"&amp;Karakterlap!$F$3-16,""),""))</f>
        <v>#VALUE!</v>
      </c>
      <c r="H66" s="49" t="s">
        <v>224</v>
      </c>
      <c r="I66" s="57" t="s">
        <v>217</v>
      </c>
      <c r="J66" s="57" t="s">
        <v>301</v>
      </c>
      <c r="K66" s="57" t="s">
        <v>368</v>
      </c>
      <c r="L66" s="57" t="s">
        <v>218</v>
      </c>
      <c r="M66" s="57" t="s">
        <v>220</v>
      </c>
      <c r="O66" s="69" t="s">
        <v>237</v>
      </c>
      <c r="P66" s="57" t="s">
        <v>305</v>
      </c>
    </row>
    <row r="67" spans="1:16" x14ac:dyDescent="0.2">
      <c r="A67" s="1" t="s">
        <v>387</v>
      </c>
      <c r="B67" s="69" t="s">
        <v>215</v>
      </c>
      <c r="C67" s="49">
        <v>1</v>
      </c>
      <c r="D67" s="49">
        <v>7</v>
      </c>
      <c r="E67" s="49">
        <v>15</v>
      </c>
      <c r="F67" s="49">
        <v>17</v>
      </c>
      <c r="G67" s="49" t="e">
        <f>H67&amp;IF(I67="e14fr",IF(Karakterlap!$F$3-14&gt;0,"+"&amp;Karakterlap!$F$3-14,""),IF(I67="e16fr",IF(Karakterlap!$F$3-16&gt;0,"+"&amp;Karakterlap!$F$3-16,""),""))</f>
        <v>#VALUE!</v>
      </c>
      <c r="H67" s="49" t="s">
        <v>224</v>
      </c>
      <c r="I67" s="57" t="s">
        <v>217</v>
      </c>
      <c r="J67" s="57" t="s">
        <v>311</v>
      </c>
      <c r="K67" s="57" t="s">
        <v>388</v>
      </c>
      <c r="L67" s="57" t="s">
        <v>218</v>
      </c>
      <c r="M67" s="57" t="s">
        <v>241</v>
      </c>
      <c r="O67" s="69" t="s">
        <v>237</v>
      </c>
      <c r="P67" s="57" t="s">
        <v>312</v>
      </c>
    </row>
    <row r="68" spans="1:16" x14ac:dyDescent="0.2">
      <c r="A68" s="27" t="s">
        <v>389</v>
      </c>
      <c r="B68" s="69" t="s">
        <v>215</v>
      </c>
      <c r="C68" s="27">
        <v>1</v>
      </c>
      <c r="D68" s="27">
        <v>10</v>
      </c>
      <c r="E68" s="63">
        <v>15</v>
      </c>
      <c r="F68" s="63">
        <v>25</v>
      </c>
      <c r="G68" s="49" t="e">
        <f>H68&amp;IF(I68="e14fr",IF(Karakterlap!$F$3-14&gt;0,"+"&amp;Karakterlap!$F$3-14,""),IF(I68="e16fr",IF(Karakterlap!$F$3-16&gt;0,"+"&amp;Karakterlap!$F$3-16,""),""))</f>
        <v>#VALUE!</v>
      </c>
      <c r="H68" s="27" t="s">
        <v>271</v>
      </c>
      <c r="I68" s="71" t="s">
        <v>217</v>
      </c>
      <c r="J68" s="71" t="s">
        <v>280</v>
      </c>
      <c r="K68" s="71" t="s">
        <v>267</v>
      </c>
      <c r="L68" s="57" t="s">
        <v>220</v>
      </c>
      <c r="M68" s="71" t="s">
        <v>268</v>
      </c>
      <c r="O68" s="69" t="s">
        <v>237</v>
      </c>
      <c r="P68" s="71" t="s">
        <v>269</v>
      </c>
    </row>
    <row r="69" spans="1:16" x14ac:dyDescent="0.2">
      <c r="A69" s="1" t="s">
        <v>390</v>
      </c>
      <c r="B69" s="69" t="s">
        <v>215</v>
      </c>
      <c r="C69" s="49">
        <v>1</v>
      </c>
      <c r="D69" s="49">
        <v>9</v>
      </c>
      <c r="E69" s="49">
        <v>13</v>
      </c>
      <c r="F69" s="49">
        <v>10</v>
      </c>
      <c r="G69" s="49" t="e">
        <f>H69&amp;IF(I69="e14fr",IF(Karakterlap!$F$3-14&gt;0,"+"&amp;Karakterlap!$F$3-14,""),IF(I69="e16fr",IF(Karakterlap!$F$3-16&gt;0,"+"&amp;Karakterlap!$F$3-16,""),""))</f>
        <v>#VALUE!</v>
      </c>
      <c r="H69" s="49" t="s">
        <v>254</v>
      </c>
      <c r="I69" s="57" t="s">
        <v>217</v>
      </c>
      <c r="J69" s="57" t="s">
        <v>370</v>
      </c>
      <c r="K69" s="57" t="s">
        <v>378</v>
      </c>
      <c r="L69" s="57" t="s">
        <v>218</v>
      </c>
      <c r="M69" s="57" t="s">
        <v>241</v>
      </c>
      <c r="O69" s="69" t="s">
        <v>237</v>
      </c>
      <c r="P69" s="57" t="s">
        <v>305</v>
      </c>
    </row>
    <row r="70" spans="1:16" x14ac:dyDescent="0.2">
      <c r="A70" s="27" t="s">
        <v>391</v>
      </c>
      <c r="B70" s="69" t="s">
        <v>215</v>
      </c>
      <c r="C70" s="27">
        <v>1</v>
      </c>
      <c r="D70" s="49">
        <v>6</v>
      </c>
      <c r="E70" s="49">
        <v>17</v>
      </c>
      <c r="F70" s="27">
        <v>14</v>
      </c>
      <c r="G70" s="49" t="e">
        <f>H70&amp;IF(I70="e14fr",IF(Karakterlap!$F$3-14&gt;0,"+"&amp;Karakterlap!$F$3-14,""),IF(I70="e16fr",IF(Karakterlap!$F$3-16&gt;0,"+"&amp;Karakterlap!$F$3-16,""),""))</f>
        <v>#VALUE!</v>
      </c>
      <c r="H70" s="49" t="s">
        <v>279</v>
      </c>
      <c r="I70" s="71" t="s">
        <v>217</v>
      </c>
      <c r="J70" s="27">
        <v>1.5</v>
      </c>
      <c r="K70" s="27" t="s">
        <v>392</v>
      </c>
      <c r="L70" s="57" t="s">
        <v>220</v>
      </c>
      <c r="M70" s="71" t="s">
        <v>241</v>
      </c>
      <c r="O70" s="69" t="s">
        <v>393</v>
      </c>
      <c r="P70" s="71" t="s">
        <v>242</v>
      </c>
    </row>
    <row r="71" spans="1:16" x14ac:dyDescent="0.2">
      <c r="A71" s="1" t="s">
        <v>394</v>
      </c>
      <c r="B71" s="69" t="s">
        <v>215</v>
      </c>
      <c r="C71" s="49">
        <v>2</v>
      </c>
      <c r="D71" s="49">
        <v>8</v>
      </c>
      <c r="E71" s="49">
        <v>12</v>
      </c>
      <c r="F71" s="49">
        <v>7</v>
      </c>
      <c r="G71" s="49" t="e">
        <f>H71&amp;IF(I71="e14fr",IF(Karakterlap!$F$3-14&gt;0,"+"&amp;Karakterlap!$F$3-14,""),IF(I71="e16fr",IF(Karakterlap!$F$3-16&gt;0,"+"&amp;Karakterlap!$F$3-16,""),""))</f>
        <v>#VALUE!</v>
      </c>
      <c r="H71" s="49" t="s">
        <v>395</v>
      </c>
      <c r="I71" s="57" t="s">
        <v>217</v>
      </c>
      <c r="J71" s="57" t="s">
        <v>304</v>
      </c>
      <c r="K71" s="57" t="s">
        <v>244</v>
      </c>
      <c r="L71" s="57" t="s">
        <v>218</v>
      </c>
      <c r="M71" s="57" t="s">
        <v>220</v>
      </c>
      <c r="O71" s="69" t="s">
        <v>237</v>
      </c>
      <c r="P71" s="57" t="s">
        <v>246</v>
      </c>
    </row>
    <row r="72" spans="1:16" x14ac:dyDescent="0.2">
      <c r="A72" s="1" t="s">
        <v>396</v>
      </c>
      <c r="B72" s="69" t="s">
        <v>215</v>
      </c>
      <c r="C72" s="49">
        <v>1</v>
      </c>
      <c r="D72" s="49">
        <v>9</v>
      </c>
      <c r="E72" s="49">
        <v>11</v>
      </c>
      <c r="F72" s="49">
        <v>14</v>
      </c>
      <c r="G72" s="49" t="e">
        <f>H72&amp;IF(I72="e14fr",IF(Karakterlap!$F$3-14&gt;0,"+"&amp;Karakterlap!$F$3-14,""),IF(I72="e16fr",IF(Karakterlap!$F$3-16&gt;0,"+"&amp;Karakterlap!$F$3-16,""),""))</f>
        <v>#VALUE!</v>
      </c>
      <c r="H72" s="49" t="s">
        <v>254</v>
      </c>
      <c r="I72" s="57" t="s">
        <v>217</v>
      </c>
      <c r="J72" s="57" t="s">
        <v>218</v>
      </c>
      <c r="K72" s="57" t="s">
        <v>244</v>
      </c>
      <c r="L72" s="57" t="s">
        <v>218</v>
      </c>
      <c r="M72" s="57" t="s">
        <v>259</v>
      </c>
      <c r="O72" s="69" t="s">
        <v>237</v>
      </c>
      <c r="P72" s="57" t="s">
        <v>276</v>
      </c>
    </row>
    <row r="73" spans="1:16" x14ac:dyDescent="0.2">
      <c r="A73" s="1" t="s">
        <v>397</v>
      </c>
      <c r="B73" s="69" t="s">
        <v>215</v>
      </c>
      <c r="C73" s="49">
        <v>2</v>
      </c>
      <c r="D73" s="49">
        <v>10</v>
      </c>
      <c r="E73" s="49">
        <v>8</v>
      </c>
      <c r="F73" s="49">
        <v>2</v>
      </c>
      <c r="G73" s="49" t="e">
        <f>H73&amp;IF(I73="e14fr",IF(Karakterlap!$F$3-14&gt;0,"+"&amp;Karakterlap!$F$3-14,""),IF(I73="e16fr",IF(Karakterlap!$F$3-16&gt;0,"+"&amp;Karakterlap!$F$3-16,""),""))</f>
        <v>#VALUE!</v>
      </c>
      <c r="H73" s="49" t="s">
        <v>231</v>
      </c>
      <c r="I73" s="57" t="s">
        <v>217</v>
      </c>
      <c r="J73" s="57" t="s">
        <v>225</v>
      </c>
      <c r="K73" s="57" t="s">
        <v>321</v>
      </c>
      <c r="L73" s="57" t="s">
        <v>218</v>
      </c>
      <c r="M73" s="57" t="s">
        <v>220</v>
      </c>
      <c r="O73" s="69" t="s">
        <v>237</v>
      </c>
      <c r="P73" s="57" t="s">
        <v>289</v>
      </c>
    </row>
    <row r="74" spans="1:16" x14ac:dyDescent="0.2">
      <c r="A74" s="1" t="s">
        <v>398</v>
      </c>
      <c r="B74" s="69" t="s">
        <v>215</v>
      </c>
      <c r="C74" s="49">
        <v>2</v>
      </c>
      <c r="D74" s="49">
        <v>9</v>
      </c>
      <c r="E74" s="49">
        <v>12</v>
      </c>
      <c r="F74" s="49">
        <v>14</v>
      </c>
      <c r="G74" s="49" t="str">
        <f>H74&amp;IF(I74="e14fr",IF(Karakterlap!$F$3-14&gt;0,"+"&amp;Karakterlap!$F$3-14,""),IF(I74="e16fr",IF(Karakterlap!$F$3-16&gt;0,"+"&amp;Karakterlap!$F$3-16,""),""))</f>
        <v>K6+2</v>
      </c>
      <c r="H74" s="49" t="s">
        <v>224</v>
      </c>
      <c r="I74" s="57" t="s">
        <v>219</v>
      </c>
      <c r="J74" s="57" t="s">
        <v>274</v>
      </c>
      <c r="K74" s="57" t="s">
        <v>251</v>
      </c>
      <c r="L74" s="57" t="s">
        <v>218</v>
      </c>
      <c r="M74" s="57" t="s">
        <v>220</v>
      </c>
      <c r="O74" s="69" t="s">
        <v>399</v>
      </c>
      <c r="P74" s="57" t="s">
        <v>289</v>
      </c>
    </row>
    <row r="75" spans="1:16" x14ac:dyDescent="0.2">
      <c r="A75" s="1" t="s">
        <v>400</v>
      </c>
      <c r="B75" s="69" t="s">
        <v>215</v>
      </c>
      <c r="C75" s="49">
        <v>2</v>
      </c>
      <c r="D75" s="49">
        <v>8</v>
      </c>
      <c r="E75" s="49">
        <v>12</v>
      </c>
      <c r="F75" s="49">
        <v>6</v>
      </c>
      <c r="G75" s="49" t="e">
        <f>H75&amp;IF(I75="e14fr",IF(Karakterlap!$F$3-14&gt;0,"+"&amp;Karakterlap!$F$3-14,""),IF(I75="e16fr",IF(Karakterlap!$F$3-16&gt;0,"+"&amp;Karakterlap!$F$3-16,""),""))</f>
        <v>#VALUE!</v>
      </c>
      <c r="H75" s="49" t="s">
        <v>231</v>
      </c>
      <c r="I75" s="57" t="s">
        <v>217</v>
      </c>
      <c r="J75" s="57" t="s">
        <v>401</v>
      </c>
      <c r="K75" s="57" t="s">
        <v>267</v>
      </c>
      <c r="L75" s="57" t="s">
        <v>218</v>
      </c>
      <c r="M75" s="57" t="s">
        <v>259</v>
      </c>
      <c r="O75" s="69" t="s">
        <v>237</v>
      </c>
      <c r="P75" s="57" t="s">
        <v>269</v>
      </c>
    </row>
    <row r="76" spans="1:16" x14ac:dyDescent="0.2">
      <c r="A76" s="1" t="s">
        <v>402</v>
      </c>
      <c r="B76" s="69" t="s">
        <v>215</v>
      </c>
      <c r="C76" s="49">
        <v>2</v>
      </c>
      <c r="D76" s="49">
        <v>10</v>
      </c>
      <c r="E76" s="49">
        <v>6</v>
      </c>
      <c r="F76" s="49">
        <v>2</v>
      </c>
      <c r="G76" s="49" t="e">
        <f>H76&amp;IF(I76="e14fr",IF(Karakterlap!$F$3-14&gt;0,"+"&amp;Karakterlap!$F$3-14,""),IF(I76="e16fr",IF(Karakterlap!$F$3-16&gt;0,"+"&amp;Karakterlap!$F$3-16,""),""))</f>
        <v>#VALUE!</v>
      </c>
      <c r="H76" s="49" t="s">
        <v>231</v>
      </c>
      <c r="I76" s="57" t="s">
        <v>217</v>
      </c>
      <c r="J76" s="57" t="s">
        <v>225</v>
      </c>
      <c r="K76" s="14" t="s">
        <v>368</v>
      </c>
      <c r="L76" s="57" t="s">
        <v>218</v>
      </c>
      <c r="M76" s="57" t="s">
        <v>220</v>
      </c>
      <c r="O76" s="69" t="s">
        <v>237</v>
      </c>
      <c r="P76" s="57" t="s">
        <v>238</v>
      </c>
    </row>
    <row r="77" spans="1:16" x14ac:dyDescent="0.2">
      <c r="A77" t="s">
        <v>403</v>
      </c>
      <c r="B77" s="69" t="s">
        <v>215</v>
      </c>
      <c r="C77" s="14">
        <v>2</v>
      </c>
      <c r="D77" s="14">
        <v>10</v>
      </c>
      <c r="E77" s="14">
        <v>7</v>
      </c>
      <c r="F77" s="14">
        <v>3</v>
      </c>
      <c r="G77" s="49" t="e">
        <f>H77&amp;IF(I77="e14fr",IF(Karakterlap!$F$3-14&gt;0,"+"&amp;Karakterlap!$F$3-14,""),IF(I77="e16fr",IF(Karakterlap!$F$3-16&gt;0,"+"&amp;Karakterlap!$F$3-16,""),""))</f>
        <v>#VALUE!</v>
      </c>
      <c r="H77" s="14" t="s">
        <v>254</v>
      </c>
      <c r="I77" s="57" t="s">
        <v>217</v>
      </c>
      <c r="J77" s="64" t="s">
        <v>377</v>
      </c>
      <c r="K77" s="64" t="s">
        <v>278</v>
      </c>
      <c r="L77" s="57" t="s">
        <v>218</v>
      </c>
      <c r="M77" s="57" t="s">
        <v>259</v>
      </c>
      <c r="O77" s="69" t="s">
        <v>237</v>
      </c>
      <c r="P77" s="57" t="s">
        <v>246</v>
      </c>
    </row>
    <row r="78" spans="1:16" x14ac:dyDescent="0.2">
      <c r="A78" s="1" t="s">
        <v>404</v>
      </c>
      <c r="B78" s="69" t="s">
        <v>215</v>
      </c>
      <c r="C78" s="49">
        <v>1</v>
      </c>
      <c r="D78" s="49">
        <v>8</v>
      </c>
      <c r="E78" s="49">
        <v>15</v>
      </c>
      <c r="F78" s="49">
        <v>10</v>
      </c>
      <c r="G78" s="49" t="e">
        <f>H78&amp;IF(I78="e14fr",IF(Karakterlap!$F$3-14&gt;0,"+"&amp;Karakterlap!$F$3-14,""),IF(I78="e16fr",IF(Karakterlap!$F$3-16&gt;0,"+"&amp;Karakterlap!$F$3-16,""),""))</f>
        <v>#VALUE!</v>
      </c>
      <c r="H78" s="49" t="s">
        <v>271</v>
      </c>
      <c r="I78" s="57" t="s">
        <v>217</v>
      </c>
      <c r="J78" s="57" t="s">
        <v>218</v>
      </c>
      <c r="K78" s="57" t="s">
        <v>333</v>
      </c>
      <c r="L78" s="57" t="s">
        <v>218</v>
      </c>
      <c r="M78" s="57" t="s">
        <v>275</v>
      </c>
      <c r="O78" s="69" t="s">
        <v>237</v>
      </c>
      <c r="P78" s="57" t="s">
        <v>246</v>
      </c>
    </row>
    <row r="79" spans="1:16" x14ac:dyDescent="0.2">
      <c r="A79" s="1"/>
      <c r="B79" s="69"/>
      <c r="C79" s="85"/>
      <c r="D79" s="85"/>
      <c r="E79" s="85"/>
      <c r="F79" s="85"/>
      <c r="G79" s="85"/>
      <c r="H79" s="85"/>
      <c r="I79" s="57"/>
      <c r="J79" s="57"/>
      <c r="K79" s="57"/>
      <c r="L79" s="57"/>
      <c r="M79" s="57"/>
      <c r="O79" s="69"/>
      <c r="P79" s="57"/>
    </row>
    <row r="80" spans="1:16" x14ac:dyDescent="0.2">
      <c r="A80" s="75" t="s">
        <v>969</v>
      </c>
      <c r="B80" s="69"/>
      <c r="C80" s="85"/>
      <c r="D80" s="85"/>
      <c r="E80" s="85"/>
      <c r="F80" s="85"/>
      <c r="G80" s="85"/>
      <c r="H80" s="85"/>
      <c r="I80" s="57"/>
      <c r="J80" s="57"/>
      <c r="K80" s="57"/>
      <c r="L80" s="57"/>
      <c r="M80" s="57"/>
      <c r="O80" s="69"/>
      <c r="P80" s="57"/>
    </row>
    <row r="81" spans="1:16" x14ac:dyDescent="0.2">
      <c r="A81" s="1"/>
      <c r="B81" s="69"/>
      <c r="C81" s="85"/>
      <c r="D81" s="85"/>
      <c r="E81" s="85"/>
      <c r="F81" s="85"/>
      <c r="G81" s="85"/>
      <c r="H81" s="85"/>
      <c r="I81" s="57"/>
      <c r="J81" s="57"/>
      <c r="K81" s="57"/>
      <c r="L81" s="57"/>
      <c r="M81" s="57"/>
      <c r="O81" s="69"/>
      <c r="P81" s="57"/>
    </row>
    <row r="82" spans="1:16" x14ac:dyDescent="0.2">
      <c r="A82" s="65" t="s">
        <v>405</v>
      </c>
      <c r="B82" s="75" t="s">
        <v>406</v>
      </c>
      <c r="C82" s="49">
        <v>1</v>
      </c>
      <c r="D82" s="49">
        <v>2</v>
      </c>
      <c r="E82" s="49">
        <v>2</v>
      </c>
      <c r="F82" s="49">
        <v>10</v>
      </c>
      <c r="G82" s="49" t="e">
        <f>H82&amp;IF(I82="e14fr",IF(Karakterlap!$F$3-14&gt;0,"+"&amp;Karakterlap!$F$3-14,""),IF(I82="e16fr",IF(Karakterlap!$F$3-16&gt;0,"+"&amp;Karakterlap!$F$3-16,""),""))</f>
        <v>#VALUE!</v>
      </c>
      <c r="H82" s="49" t="s">
        <v>300</v>
      </c>
      <c r="I82" s="57" t="s">
        <v>217</v>
      </c>
      <c r="J82" s="49">
        <v>0.8</v>
      </c>
      <c r="K82" s="49" t="s">
        <v>407</v>
      </c>
      <c r="L82" s="57" t="s">
        <v>218</v>
      </c>
      <c r="M82" s="57" t="s">
        <v>237</v>
      </c>
      <c r="O82" s="69" t="s">
        <v>237</v>
      </c>
      <c r="P82" s="57" t="s">
        <v>408</v>
      </c>
    </row>
    <row r="83" spans="1:16" x14ac:dyDescent="0.2">
      <c r="A83" s="65" t="s">
        <v>409</v>
      </c>
      <c r="B83" s="75" t="s">
        <v>406</v>
      </c>
      <c r="C83" s="61">
        <v>0.33333333333333331</v>
      </c>
      <c r="D83" s="49">
        <v>1</v>
      </c>
      <c r="E83" s="49">
        <v>8</v>
      </c>
      <c r="F83" s="49">
        <v>4</v>
      </c>
      <c r="G83" s="49" t="e">
        <f>H83&amp;IF(I83="e14fr",IF(Karakterlap!$F$3-14&gt;0,"+"&amp;Karakterlap!$F$3-14,""),IF(I83="e16fr",IF(Karakterlap!$F$3-16&gt;0,"+"&amp;Karakterlap!$F$3-16,""),""))</f>
        <v>#VALUE!</v>
      </c>
      <c r="H83" s="49" t="s">
        <v>237</v>
      </c>
      <c r="I83" s="57" t="s">
        <v>217</v>
      </c>
      <c r="J83" s="49">
        <v>1</v>
      </c>
      <c r="K83" s="49" t="s">
        <v>368</v>
      </c>
      <c r="L83" s="57" t="s">
        <v>218</v>
      </c>
      <c r="M83" s="57" t="s">
        <v>237</v>
      </c>
      <c r="O83" s="69" t="s">
        <v>237</v>
      </c>
      <c r="P83" s="57" t="s">
        <v>408</v>
      </c>
    </row>
    <row r="84" spans="1:16" x14ac:dyDescent="0.2">
      <c r="A84" s="1" t="s">
        <v>410</v>
      </c>
      <c r="B84" s="75" t="s">
        <v>406</v>
      </c>
      <c r="C84" s="60">
        <v>2</v>
      </c>
      <c r="D84" s="60">
        <v>10</v>
      </c>
      <c r="E84" s="60">
        <v>11</v>
      </c>
      <c r="F84" s="60">
        <v>2</v>
      </c>
      <c r="G84" s="49" t="e">
        <f>H84&amp;IF(I84="e14fr",IF(Karakterlap!$F$3-14&gt;0,"+"&amp;Karakterlap!$F$3-14,""),IF(I84="e16fr",IF(Karakterlap!$F$3-16&gt;0,"+"&amp;Karakterlap!$F$3-16,""),""))</f>
        <v>#VALUE!</v>
      </c>
      <c r="H84" s="60" t="s">
        <v>231</v>
      </c>
      <c r="I84" s="57" t="s">
        <v>217</v>
      </c>
      <c r="J84" s="57" t="s">
        <v>318</v>
      </c>
      <c r="K84" s="57" t="s">
        <v>411</v>
      </c>
      <c r="L84" s="57" t="s">
        <v>218</v>
      </c>
      <c r="M84" s="57" t="s">
        <v>220</v>
      </c>
      <c r="O84" s="69" t="s">
        <v>237</v>
      </c>
      <c r="P84" s="57" t="s">
        <v>289</v>
      </c>
    </row>
    <row r="85" spans="1:16" x14ac:dyDescent="0.2">
      <c r="A85" s="65" t="s">
        <v>412</v>
      </c>
      <c r="B85" s="75" t="s">
        <v>406</v>
      </c>
      <c r="C85" s="66">
        <v>2</v>
      </c>
      <c r="D85" s="66">
        <v>9</v>
      </c>
      <c r="E85" s="66">
        <v>10</v>
      </c>
      <c r="F85" s="66">
        <v>4</v>
      </c>
      <c r="G85" s="49" t="e">
        <f>H85&amp;IF(I85="e14fr",IF(Karakterlap!$F$3-14&gt;0,"+"&amp;Karakterlap!$F$3-14,""),IF(I85="e16fr",IF(Karakterlap!$F$3-16&gt;0,"+"&amp;Karakterlap!$F$3-16,""),""))</f>
        <v>#VALUE!</v>
      </c>
      <c r="H85" s="66" t="s">
        <v>231</v>
      </c>
      <c r="I85" s="49" t="s">
        <v>247</v>
      </c>
      <c r="J85" s="66">
        <v>1.2</v>
      </c>
      <c r="K85" s="66" t="s">
        <v>321</v>
      </c>
      <c r="L85" s="57" t="s">
        <v>218</v>
      </c>
      <c r="M85" s="57" t="s">
        <v>259</v>
      </c>
      <c r="O85" s="69" t="s">
        <v>237</v>
      </c>
      <c r="P85" s="57" t="s">
        <v>413</v>
      </c>
    </row>
    <row r="86" spans="1:16" x14ac:dyDescent="0.2">
      <c r="A86" s="65" t="s">
        <v>414</v>
      </c>
      <c r="B86" s="75" t="s">
        <v>406</v>
      </c>
      <c r="C86" s="49">
        <v>1</v>
      </c>
      <c r="D86" s="49">
        <v>8</v>
      </c>
      <c r="E86" s="49">
        <v>13</v>
      </c>
      <c r="F86" s="49">
        <v>5</v>
      </c>
      <c r="G86" s="49" t="e">
        <f>H86&amp;IF(I86="e14fr",IF(Karakterlap!$F$3-14&gt;0,"+"&amp;Karakterlap!$F$3-14,""),IF(I86="e16fr",IF(Karakterlap!$F$3-16&gt;0,"+"&amp;Karakterlap!$F$3-16,""),""))</f>
        <v>#VALUE!</v>
      </c>
      <c r="H86" s="49" t="s">
        <v>254</v>
      </c>
      <c r="I86" s="57" t="s">
        <v>217</v>
      </c>
      <c r="J86" s="49">
        <v>1.5</v>
      </c>
      <c r="K86" s="49" t="s">
        <v>236</v>
      </c>
      <c r="L86" s="57" t="s">
        <v>218</v>
      </c>
      <c r="M86" s="57" t="s">
        <v>415</v>
      </c>
      <c r="O86" s="69" t="s">
        <v>237</v>
      </c>
      <c r="P86" s="57" t="s">
        <v>413</v>
      </c>
    </row>
    <row r="87" spans="1:16" x14ac:dyDescent="0.2">
      <c r="A87" s="69" t="s">
        <v>626</v>
      </c>
      <c r="B87" s="75" t="s">
        <v>406</v>
      </c>
      <c r="C87" s="57" t="s">
        <v>218</v>
      </c>
      <c r="D87" s="57" t="s">
        <v>362</v>
      </c>
      <c r="E87" s="57" t="s">
        <v>226</v>
      </c>
      <c r="F87" s="57" t="s">
        <v>219</v>
      </c>
      <c r="G87" s="49" t="e">
        <f>H87&amp;IF(I87="e14fr",IF(Karakterlap!$F$3-14&gt;0,"+"&amp;Karakterlap!$F$3-14,""),IF(I87="e16fr",IF(Karakterlap!$F$3-16&gt;0,"+"&amp;Karakterlap!$F$3-16,""),""))</f>
        <v>#VALUE!</v>
      </c>
      <c r="H87" s="57" t="s">
        <v>254</v>
      </c>
      <c r="I87" s="57" t="s">
        <v>217</v>
      </c>
      <c r="J87" s="57" t="s">
        <v>370</v>
      </c>
      <c r="K87" s="57" t="s">
        <v>627</v>
      </c>
      <c r="L87" s="57" t="s">
        <v>218</v>
      </c>
      <c r="M87" s="57" t="s">
        <v>259</v>
      </c>
      <c r="O87" s="69" t="s">
        <v>219</v>
      </c>
      <c r="P87" s="57" t="s">
        <v>623</v>
      </c>
    </row>
    <row r="88" spans="1:16" x14ac:dyDescent="0.2">
      <c r="A88" s="65" t="s">
        <v>416</v>
      </c>
      <c r="B88" s="75" t="s">
        <v>406</v>
      </c>
      <c r="C88" s="61">
        <v>0.33333333333333331</v>
      </c>
      <c r="D88" s="49">
        <v>0</v>
      </c>
      <c r="E88" s="49">
        <v>1</v>
      </c>
      <c r="F88" s="49">
        <v>0</v>
      </c>
      <c r="G88" s="49" t="e">
        <f>H88&amp;IF(I88="e14fr",IF(Karakterlap!$F$3-14&gt;0,"+"&amp;Karakterlap!$F$3-14,""),IF(I88="e16fr",IF(Karakterlap!$F$3-16&gt;0,"+"&amp;Karakterlap!$F$3-16,""),""))</f>
        <v>#VALUE!</v>
      </c>
      <c r="H88" s="49" t="s">
        <v>237</v>
      </c>
      <c r="I88" s="57" t="s">
        <v>217</v>
      </c>
      <c r="J88" s="49">
        <v>0.6</v>
      </c>
      <c r="K88" s="49" t="s">
        <v>417</v>
      </c>
      <c r="L88" s="57" t="s">
        <v>218</v>
      </c>
      <c r="M88" s="57" t="s">
        <v>237</v>
      </c>
      <c r="O88" s="69" t="s">
        <v>237</v>
      </c>
      <c r="P88" s="57" t="s">
        <v>408</v>
      </c>
    </row>
    <row r="89" spans="1:16" x14ac:dyDescent="0.2">
      <c r="A89" s="65" t="s">
        <v>418</v>
      </c>
      <c r="B89" s="75" t="s">
        <v>406</v>
      </c>
      <c r="C89" s="49">
        <v>1</v>
      </c>
      <c r="D89" s="49">
        <v>9</v>
      </c>
      <c r="E89" s="49">
        <v>12</v>
      </c>
      <c r="F89" s="49">
        <v>3</v>
      </c>
      <c r="G89" s="49" t="e">
        <f>H89&amp;IF(I89="e14fr",IF(Karakterlap!$F$3-14&gt;0,"+"&amp;Karakterlap!$F$3-14,""),IF(I89="e16fr",IF(Karakterlap!$F$3-16&gt;0,"+"&amp;Karakterlap!$F$3-16,""),""))</f>
        <v>#VALUE!</v>
      </c>
      <c r="H89" s="49" t="s">
        <v>231</v>
      </c>
      <c r="I89" s="57" t="s">
        <v>217</v>
      </c>
      <c r="J89" s="49">
        <v>1.2</v>
      </c>
      <c r="K89" s="49" t="s">
        <v>258</v>
      </c>
      <c r="L89" s="57" t="s">
        <v>218</v>
      </c>
      <c r="M89" s="57" t="s">
        <v>220</v>
      </c>
      <c r="O89" s="69" t="s">
        <v>419</v>
      </c>
      <c r="P89" s="57" t="s">
        <v>420</v>
      </c>
    </row>
    <row r="90" spans="1:16" x14ac:dyDescent="0.2">
      <c r="A90" s="1" t="s">
        <v>421</v>
      </c>
      <c r="B90" s="75" t="s">
        <v>406</v>
      </c>
      <c r="C90" s="49">
        <v>3</v>
      </c>
      <c r="D90" s="49">
        <v>10</v>
      </c>
      <c r="E90" s="49">
        <v>4</v>
      </c>
      <c r="F90" s="49">
        <v>0</v>
      </c>
      <c r="G90" s="49" t="e">
        <f>H90&amp;IF(I90="e14fr",IF(Karakterlap!$F$3-14&gt;0,"+"&amp;Karakterlap!$F$3-14,""),IF(I90="e16fr",IF(Karakterlap!$F$3-16&gt;0,"+"&amp;Karakterlap!$F$3-16,""),""))</f>
        <v>#VALUE!</v>
      </c>
      <c r="H90" s="49" t="s">
        <v>216</v>
      </c>
      <c r="I90" s="57" t="s">
        <v>217</v>
      </c>
      <c r="J90" s="57" t="s">
        <v>351</v>
      </c>
      <c r="K90" s="57" t="s">
        <v>407</v>
      </c>
      <c r="L90" s="57" t="s">
        <v>218</v>
      </c>
      <c r="M90" s="57" t="s">
        <v>220</v>
      </c>
      <c r="O90" s="69" t="s">
        <v>237</v>
      </c>
      <c r="P90" s="57" t="s">
        <v>289</v>
      </c>
    </row>
    <row r="91" spans="1:16" x14ac:dyDescent="0.2">
      <c r="A91" s="51" t="s">
        <v>422</v>
      </c>
      <c r="B91" s="75" t="s">
        <v>406</v>
      </c>
      <c r="C91" s="49">
        <v>2</v>
      </c>
      <c r="D91" s="49">
        <v>9</v>
      </c>
      <c r="E91" s="49">
        <v>12</v>
      </c>
      <c r="F91" s="49">
        <v>4</v>
      </c>
      <c r="G91" s="49" t="e">
        <f>H91&amp;IF(I91="e14fr",IF(Karakterlap!$F$3-14&gt;0,"+"&amp;Karakterlap!$F$3-14,""),IF(I91="e16fr",IF(Karakterlap!$F$3-16&gt;0,"+"&amp;Karakterlap!$F$3-16,""),""))</f>
        <v>#VALUE!</v>
      </c>
      <c r="H91" s="49" t="s">
        <v>300</v>
      </c>
      <c r="I91" s="57" t="s">
        <v>217</v>
      </c>
      <c r="J91" s="49">
        <v>1</v>
      </c>
      <c r="K91" s="49" t="s">
        <v>423</v>
      </c>
      <c r="L91" s="57" t="s">
        <v>218</v>
      </c>
      <c r="M91" s="57" t="s">
        <v>218</v>
      </c>
      <c r="O91" s="69" t="s">
        <v>424</v>
      </c>
      <c r="P91" s="57" t="s">
        <v>425</v>
      </c>
    </row>
    <row r="92" spans="1:16" x14ac:dyDescent="0.2">
      <c r="A92" s="86"/>
      <c r="B92" s="75"/>
      <c r="C92" s="85"/>
      <c r="D92" s="85"/>
      <c r="E92" s="85"/>
      <c r="F92" s="85"/>
      <c r="G92" s="85"/>
      <c r="H92" s="85"/>
      <c r="I92" s="57"/>
      <c r="J92" s="85"/>
      <c r="K92" s="85"/>
      <c r="L92" s="57"/>
      <c r="M92" s="57"/>
      <c r="O92" s="69"/>
      <c r="P92" s="57"/>
    </row>
    <row r="93" spans="1:16" x14ac:dyDescent="0.2">
      <c r="A93" s="75" t="s">
        <v>968</v>
      </c>
      <c r="B93" s="75"/>
      <c r="C93" s="85"/>
      <c r="D93" s="85"/>
      <c r="E93" s="85"/>
      <c r="F93" s="85"/>
      <c r="G93" s="85"/>
      <c r="H93" s="85"/>
      <c r="I93" s="57"/>
      <c r="J93" s="85"/>
      <c r="K93" s="85"/>
      <c r="L93" s="57"/>
      <c r="M93" s="57"/>
      <c r="O93" s="69"/>
      <c r="P93" s="57"/>
    </row>
    <row r="94" spans="1:16" x14ac:dyDescent="0.2">
      <c r="A94" s="86"/>
      <c r="B94" s="75"/>
      <c r="C94" s="85"/>
      <c r="D94" s="85"/>
      <c r="E94" s="85"/>
      <c r="F94" s="85"/>
      <c r="G94" s="85"/>
      <c r="H94" s="85"/>
      <c r="I94" s="57"/>
      <c r="J94" s="85"/>
      <c r="K94" s="85"/>
      <c r="L94" s="57"/>
      <c r="M94" s="57"/>
      <c r="O94" s="69"/>
      <c r="P94" s="57"/>
    </row>
    <row r="95" spans="1:16" x14ac:dyDescent="0.2">
      <c r="A95" s="65" t="s">
        <v>426</v>
      </c>
      <c r="B95" s="75" t="s">
        <v>427</v>
      </c>
      <c r="C95" s="49">
        <v>2</v>
      </c>
      <c r="D95" s="49">
        <v>4</v>
      </c>
      <c r="E95" s="49">
        <v>17</v>
      </c>
      <c r="F95" s="49">
        <v>13</v>
      </c>
      <c r="G95" s="49" t="e">
        <f>H95&amp;IF(I95="e14fr",IF(Karakterlap!$F$3-14&gt;0,"+"&amp;Karakterlap!$F$3-14,""),IF(I95="e16fr",IF(Karakterlap!$F$3-16&gt;0,"+"&amp;Karakterlap!$F$3-16,""),""))</f>
        <v>#VALUE!</v>
      </c>
      <c r="H95" s="49" t="s">
        <v>231</v>
      </c>
      <c r="I95" s="49" t="s">
        <v>247</v>
      </c>
      <c r="J95" s="49">
        <v>1.1000000000000001</v>
      </c>
      <c r="K95" s="49" t="s">
        <v>321</v>
      </c>
      <c r="L95" s="57" t="s">
        <v>218</v>
      </c>
      <c r="M95" s="57" t="s">
        <v>237</v>
      </c>
      <c r="O95" s="69" t="s">
        <v>237</v>
      </c>
      <c r="P95" s="57" t="s">
        <v>302</v>
      </c>
    </row>
    <row r="96" spans="1:16" x14ac:dyDescent="0.2">
      <c r="A96" s="65" t="s">
        <v>428</v>
      </c>
      <c r="B96" s="75" t="s">
        <v>427</v>
      </c>
      <c r="C96" s="66">
        <v>1</v>
      </c>
      <c r="D96" s="66">
        <v>5</v>
      </c>
      <c r="E96" s="66">
        <v>11</v>
      </c>
      <c r="F96" s="66">
        <v>8</v>
      </c>
      <c r="G96" s="49" t="e">
        <f>H96&amp;IF(I96="e14fr",IF(Karakterlap!$F$3-14&gt;0,"+"&amp;Karakterlap!$F$3-14,""),IF(I96="e16fr",IF(Karakterlap!$F$3-16&gt;0,"+"&amp;Karakterlap!$F$3-16,""),""))</f>
        <v>#VALUE!</v>
      </c>
      <c r="H96" s="66" t="s">
        <v>263</v>
      </c>
      <c r="I96" s="49" t="s">
        <v>247</v>
      </c>
      <c r="J96" s="66">
        <v>2.5</v>
      </c>
      <c r="K96" s="66" t="s">
        <v>281</v>
      </c>
      <c r="L96" s="57" t="s">
        <v>218</v>
      </c>
      <c r="M96" s="57" t="s">
        <v>220</v>
      </c>
      <c r="O96" s="69" t="s">
        <v>237</v>
      </c>
      <c r="P96" s="57" t="s">
        <v>429</v>
      </c>
    </row>
    <row r="97" spans="1:16" x14ac:dyDescent="0.2">
      <c r="A97" s="65" t="s">
        <v>430</v>
      </c>
      <c r="B97" s="75" t="s">
        <v>427</v>
      </c>
      <c r="C97" s="67">
        <v>0.5</v>
      </c>
      <c r="D97" s="66">
        <v>4</v>
      </c>
      <c r="E97" s="66">
        <v>13</v>
      </c>
      <c r="F97" s="66">
        <v>11</v>
      </c>
      <c r="G97" s="49" t="e">
        <f>H97&amp;IF(I97="e14fr",IF(Karakterlap!$F$3-14&gt;0,"+"&amp;Karakterlap!$F$3-14,""),IF(I97="e16fr",IF(Karakterlap!$F$3-16&gt;0,"+"&amp;Karakterlap!$F$3-16,""),""))</f>
        <v>#VALUE!</v>
      </c>
      <c r="H97" s="66" t="s">
        <v>431</v>
      </c>
      <c r="I97" s="49" t="s">
        <v>247</v>
      </c>
      <c r="J97" s="66">
        <v>2</v>
      </c>
      <c r="K97" s="66" t="s">
        <v>278</v>
      </c>
      <c r="L97" s="57" t="s">
        <v>218</v>
      </c>
      <c r="M97" s="57" t="s">
        <v>226</v>
      </c>
      <c r="O97" s="69" t="s">
        <v>237</v>
      </c>
      <c r="P97" s="57" t="s">
        <v>429</v>
      </c>
    </row>
    <row r="98" spans="1:16" x14ac:dyDescent="0.2">
      <c r="A98" s="69" t="s">
        <v>633</v>
      </c>
      <c r="B98" s="75" t="s">
        <v>427</v>
      </c>
      <c r="C98" s="66">
        <v>1</v>
      </c>
      <c r="D98" s="66">
        <v>5</v>
      </c>
      <c r="E98" s="66">
        <v>10</v>
      </c>
      <c r="F98" s="66">
        <v>7</v>
      </c>
      <c r="G98" s="49" t="e">
        <f>H98&amp;IF(I98="e14fr",IF(Karakterlap!$F$3-14&gt;0,"+"&amp;Karakterlap!$F$3-14,""),IF(I98="e16fr",IF(Karakterlap!$F$3-16&gt;0,"+"&amp;Karakterlap!$F$3-16,""),""))</f>
        <v>#VALUE!</v>
      </c>
      <c r="H98" s="66" t="s">
        <v>263</v>
      </c>
      <c r="I98" s="49" t="s">
        <v>247</v>
      </c>
      <c r="J98" s="66">
        <v>2.5</v>
      </c>
      <c r="K98" s="66" t="s">
        <v>288</v>
      </c>
      <c r="L98" s="57" t="s">
        <v>218</v>
      </c>
      <c r="M98" s="57" t="s">
        <v>220</v>
      </c>
      <c r="O98" s="69" t="s">
        <v>237</v>
      </c>
      <c r="P98" s="57" t="s">
        <v>623</v>
      </c>
    </row>
    <row r="99" spans="1:16" x14ac:dyDescent="0.2">
      <c r="A99" s="65" t="s">
        <v>432</v>
      </c>
      <c r="B99" s="75" t="s">
        <v>427</v>
      </c>
      <c r="C99" s="66">
        <v>1</v>
      </c>
      <c r="D99" s="66">
        <v>1</v>
      </c>
      <c r="E99" s="66">
        <v>6</v>
      </c>
      <c r="F99" s="66">
        <v>5</v>
      </c>
      <c r="G99" s="49" t="e">
        <f>H99&amp;IF(I99="e14fr",IF(Karakterlap!$F$3-14&gt;0,"+"&amp;Karakterlap!$F$3-14,""),IF(I99="e16fr",IF(Karakterlap!$F$3-16&gt;0,"+"&amp;Karakterlap!$F$3-16,""),""))</f>
        <v>#VALUE!</v>
      </c>
      <c r="H99" s="66" t="s">
        <v>254</v>
      </c>
      <c r="I99" s="49" t="s">
        <v>247</v>
      </c>
      <c r="J99" s="66">
        <v>2.5</v>
      </c>
      <c r="K99" s="66" t="s">
        <v>433</v>
      </c>
      <c r="L99" s="57" t="s">
        <v>220</v>
      </c>
      <c r="M99" s="57" t="s">
        <v>237</v>
      </c>
      <c r="O99" s="69" t="s">
        <v>237</v>
      </c>
      <c r="P99" s="57" t="s">
        <v>429</v>
      </c>
    </row>
    <row r="100" spans="1:16" x14ac:dyDescent="0.2">
      <c r="A100" s="65" t="s">
        <v>434</v>
      </c>
      <c r="B100" s="75" t="s">
        <v>427</v>
      </c>
      <c r="C100" s="66">
        <v>1</v>
      </c>
      <c r="D100" s="66">
        <v>2</v>
      </c>
      <c r="E100" s="66">
        <v>7</v>
      </c>
      <c r="F100" s="66">
        <v>14</v>
      </c>
      <c r="G100" s="49" t="e">
        <f>H100&amp;IF(I100="e14fr",IF(Karakterlap!$F$3-14&gt;0,"+"&amp;Karakterlap!$F$3-14,""),IF(I100="e16fr",IF(Karakterlap!$F$3-16&gt;0,"+"&amp;Karakterlap!$F$3-16,""),""))</f>
        <v>#VALUE!</v>
      </c>
      <c r="H100" s="66" t="s">
        <v>231</v>
      </c>
      <c r="I100" s="49" t="s">
        <v>247</v>
      </c>
      <c r="J100" s="66">
        <v>2</v>
      </c>
      <c r="K100" s="66" t="s">
        <v>281</v>
      </c>
      <c r="L100" s="57" t="s">
        <v>218</v>
      </c>
      <c r="M100" s="57" t="s">
        <v>237</v>
      </c>
      <c r="O100" s="69" t="s">
        <v>237</v>
      </c>
      <c r="P100" s="57" t="s">
        <v>435</v>
      </c>
    </row>
    <row r="101" spans="1:16" x14ac:dyDescent="0.2">
      <c r="A101" s="65" t="s">
        <v>436</v>
      </c>
      <c r="B101" s="75" t="s">
        <v>427</v>
      </c>
      <c r="C101" s="66">
        <v>1</v>
      </c>
      <c r="D101" s="66">
        <v>5</v>
      </c>
      <c r="E101" s="66">
        <v>12</v>
      </c>
      <c r="F101" s="66">
        <v>11</v>
      </c>
      <c r="G101" s="49" t="e">
        <f>H101&amp;IF(I101="e14fr",IF(Karakterlap!$F$3-14&gt;0,"+"&amp;Karakterlap!$F$3-14,""),IF(I101="e16fr",IF(Karakterlap!$F$3-16&gt;0,"+"&amp;Karakterlap!$F$3-16,""),""))</f>
        <v>#VALUE!</v>
      </c>
      <c r="H101" s="66" t="s">
        <v>263</v>
      </c>
      <c r="I101" s="49" t="s">
        <v>247</v>
      </c>
      <c r="J101" s="66">
        <v>2</v>
      </c>
      <c r="K101" s="66" t="s">
        <v>232</v>
      </c>
      <c r="L101" s="57" t="s">
        <v>218</v>
      </c>
      <c r="M101" s="57" t="s">
        <v>259</v>
      </c>
      <c r="O101" s="69" t="s">
        <v>237</v>
      </c>
      <c r="P101" s="57" t="s">
        <v>413</v>
      </c>
    </row>
    <row r="102" spans="1:16" x14ac:dyDescent="0.2">
      <c r="A102" s="65" t="s">
        <v>437</v>
      </c>
      <c r="B102" s="75" t="s">
        <v>427</v>
      </c>
      <c r="C102" s="66">
        <v>1</v>
      </c>
      <c r="D102" s="66">
        <v>2</v>
      </c>
      <c r="E102" s="66">
        <v>7</v>
      </c>
      <c r="F102" s="66">
        <v>14</v>
      </c>
      <c r="G102" s="49" t="e">
        <f>H102&amp;IF(I102="e14fr",IF(Karakterlap!$F$3-14&gt;0,"+"&amp;Karakterlap!$F$3-14,""),IF(I102="e16fr",IF(Karakterlap!$F$3-16&gt;0,"+"&amp;Karakterlap!$F$3-16,""),""))</f>
        <v>#VALUE!</v>
      </c>
      <c r="H102" s="66" t="s">
        <v>231</v>
      </c>
      <c r="I102" s="49" t="s">
        <v>247</v>
      </c>
      <c r="J102" s="66">
        <v>1.3</v>
      </c>
      <c r="K102" s="66" t="s">
        <v>237</v>
      </c>
      <c r="L102" s="57" t="s">
        <v>218</v>
      </c>
      <c r="M102" s="57" t="s">
        <v>237</v>
      </c>
      <c r="O102" s="69" t="s">
        <v>237</v>
      </c>
      <c r="P102" s="57" t="s">
        <v>429</v>
      </c>
    </row>
    <row r="103" spans="1:16" x14ac:dyDescent="0.2">
      <c r="A103" s="1" t="s">
        <v>438</v>
      </c>
      <c r="B103" s="75" t="s">
        <v>427</v>
      </c>
      <c r="C103" s="49">
        <v>1</v>
      </c>
      <c r="D103" s="49">
        <v>8</v>
      </c>
      <c r="E103" s="49">
        <v>11</v>
      </c>
      <c r="F103" s="49">
        <v>12</v>
      </c>
      <c r="G103" s="49" t="e">
        <f>H103&amp;IF(I103="e14fr",IF(Karakterlap!$F$3-14&gt;0,"+"&amp;Karakterlap!$F$3-14,""),IF(I103="e16fr",IF(Karakterlap!$F$3-16&gt;0,"+"&amp;Karakterlap!$F$3-16,""),""))</f>
        <v>#VALUE!</v>
      </c>
      <c r="H103" s="49" t="s">
        <v>231</v>
      </c>
      <c r="I103" s="49" t="s">
        <v>247</v>
      </c>
      <c r="J103" s="49">
        <v>2</v>
      </c>
      <c r="K103" s="49" t="s">
        <v>267</v>
      </c>
      <c r="L103" s="57" t="s">
        <v>218</v>
      </c>
      <c r="M103" s="57" t="s">
        <v>237</v>
      </c>
      <c r="O103" s="69" t="s">
        <v>237</v>
      </c>
      <c r="P103" s="57" t="s">
        <v>439</v>
      </c>
    </row>
    <row r="104" spans="1:16" x14ac:dyDescent="0.2">
      <c r="A104" s="65" t="s">
        <v>440</v>
      </c>
      <c r="B104" s="75" t="s">
        <v>427</v>
      </c>
      <c r="C104" s="66">
        <v>1</v>
      </c>
      <c r="D104" s="66">
        <v>8</v>
      </c>
      <c r="E104" s="66">
        <v>10</v>
      </c>
      <c r="F104" s="66">
        <v>8</v>
      </c>
      <c r="G104" s="49" t="e">
        <f>H104&amp;IF(I104="e14fr",IF(Karakterlap!$F$3-14&gt;0,"+"&amp;Karakterlap!$F$3-14,""),IF(I104="e16fr",IF(Karakterlap!$F$3-16&gt;0,"+"&amp;Karakterlap!$F$3-16,""),""))</f>
        <v>#VALUE!</v>
      </c>
      <c r="H104" s="66" t="s">
        <v>224</v>
      </c>
      <c r="I104" s="49" t="s">
        <v>247</v>
      </c>
      <c r="J104" s="66">
        <v>3</v>
      </c>
      <c r="K104" s="66" t="s">
        <v>281</v>
      </c>
      <c r="L104" s="57" t="s">
        <v>311</v>
      </c>
      <c r="M104" s="57" t="s">
        <v>237</v>
      </c>
      <c r="O104" s="69" t="s">
        <v>237</v>
      </c>
      <c r="P104" s="57" t="s">
        <v>429</v>
      </c>
    </row>
    <row r="105" spans="1:16" x14ac:dyDescent="0.2">
      <c r="A105" s="65" t="s">
        <v>441</v>
      </c>
      <c r="B105" s="75" t="s">
        <v>427</v>
      </c>
      <c r="C105" s="66">
        <v>1</v>
      </c>
      <c r="D105" s="66">
        <v>4</v>
      </c>
      <c r="E105" s="66">
        <v>10</v>
      </c>
      <c r="F105" s="66">
        <v>16</v>
      </c>
      <c r="G105" s="49" t="e">
        <f>H105&amp;IF(I105="e14fr",IF(Karakterlap!$F$3-14&gt;0,"+"&amp;Karakterlap!$F$3-14,""),IF(I105="e16fr",IF(Karakterlap!$F$3-16&gt;0,"+"&amp;Karakterlap!$F$3-16,""),""))</f>
        <v>#VALUE!</v>
      </c>
      <c r="H105" s="66" t="s">
        <v>300</v>
      </c>
      <c r="I105" s="49" t="s">
        <v>247</v>
      </c>
      <c r="J105" s="66">
        <v>1.2</v>
      </c>
      <c r="K105" s="66" t="s">
        <v>326</v>
      </c>
      <c r="L105" s="57" t="s">
        <v>220</v>
      </c>
      <c r="M105" s="57" t="s">
        <v>237</v>
      </c>
      <c r="O105" s="69" t="s">
        <v>237</v>
      </c>
      <c r="P105" s="57" t="s">
        <v>429</v>
      </c>
    </row>
    <row r="106" spans="1:16" x14ac:dyDescent="0.2">
      <c r="A106" s="69" t="s">
        <v>628</v>
      </c>
      <c r="B106" s="69" t="s">
        <v>427</v>
      </c>
      <c r="C106" s="57" t="s">
        <v>218</v>
      </c>
      <c r="D106" s="57" t="s">
        <v>268</v>
      </c>
      <c r="E106" s="57" t="s">
        <v>629</v>
      </c>
      <c r="F106" s="57" t="s">
        <v>227</v>
      </c>
      <c r="G106" s="49" t="e">
        <f>H106&amp;IF(I106="e14fr",IF(Karakterlap!$F$3-14&gt;0,"+"&amp;Karakterlap!$F$3-14,""),IF(I106="e16fr",IF(Karakterlap!$F$3-16&gt;0,"+"&amp;Karakterlap!$F$3-16,""),""))</f>
        <v>#VALUE!</v>
      </c>
      <c r="H106" s="57" t="s">
        <v>254</v>
      </c>
      <c r="I106" s="57" t="s">
        <v>247</v>
      </c>
      <c r="J106" s="57" t="s">
        <v>311</v>
      </c>
      <c r="K106" s="57" t="s">
        <v>630</v>
      </c>
      <c r="L106" s="57" t="s">
        <v>218</v>
      </c>
      <c r="M106" s="57" t="s">
        <v>268</v>
      </c>
      <c r="O106" s="69"/>
      <c r="P106" s="57" t="s">
        <v>623</v>
      </c>
    </row>
    <row r="107" spans="1:16" x14ac:dyDescent="0.2">
      <c r="A107" s="1" t="s">
        <v>442</v>
      </c>
      <c r="B107" s="75" t="s">
        <v>427</v>
      </c>
      <c r="C107" s="49">
        <v>1</v>
      </c>
      <c r="D107" s="49">
        <v>3</v>
      </c>
      <c r="E107" s="49">
        <v>19</v>
      </c>
      <c r="F107" s="49">
        <v>16</v>
      </c>
      <c r="G107" s="49" t="e">
        <f>H107&amp;IF(I107="e14fr",IF(Karakterlap!$F$3-14&gt;0,"+"&amp;Karakterlap!$F$3-14,""),IF(I107="e16fr",IF(Karakterlap!$F$3-16&gt;0,"+"&amp;Karakterlap!$F$3-16,""),""))</f>
        <v>#VALUE!</v>
      </c>
      <c r="H107" s="49" t="s">
        <v>271</v>
      </c>
      <c r="I107" s="49" t="s">
        <v>247</v>
      </c>
      <c r="J107" s="49">
        <v>1</v>
      </c>
      <c r="K107" s="49" t="s">
        <v>288</v>
      </c>
      <c r="L107" s="57" t="s">
        <v>220</v>
      </c>
      <c r="M107" s="57" t="s">
        <v>237</v>
      </c>
      <c r="O107" s="69" t="s">
        <v>237</v>
      </c>
      <c r="P107" s="57" t="s">
        <v>302</v>
      </c>
    </row>
    <row r="108" spans="1:16" x14ac:dyDescent="0.2">
      <c r="A108" s="65" t="s">
        <v>443</v>
      </c>
      <c r="B108" s="75" t="s">
        <v>427</v>
      </c>
      <c r="C108" s="67">
        <v>0.5</v>
      </c>
      <c r="D108" s="66">
        <v>0</v>
      </c>
      <c r="E108" s="66">
        <v>7</v>
      </c>
      <c r="F108" s="66">
        <v>6</v>
      </c>
      <c r="G108" s="49" t="e">
        <f>H108&amp;IF(I108="e14fr",IF(Karakterlap!$F$3-14&gt;0,"+"&amp;Karakterlap!$F$3-14,""),IF(I108="e16fr",IF(Karakterlap!$F$3-16&gt;0,"+"&amp;Karakterlap!$F$3-16,""),""))</f>
        <v>#VALUE!</v>
      </c>
      <c r="H108" s="66" t="s">
        <v>431</v>
      </c>
      <c r="I108" s="49" t="s">
        <v>247</v>
      </c>
      <c r="J108" s="66">
        <v>3</v>
      </c>
      <c r="K108" s="66" t="s">
        <v>444</v>
      </c>
      <c r="L108" s="57" t="s">
        <v>220</v>
      </c>
      <c r="M108" s="57" t="s">
        <v>237</v>
      </c>
      <c r="O108" s="69" t="s">
        <v>237</v>
      </c>
      <c r="P108" s="57" t="s">
        <v>429</v>
      </c>
    </row>
    <row r="109" spans="1:16" x14ac:dyDescent="0.2">
      <c r="A109" s="65" t="s">
        <v>445</v>
      </c>
      <c r="B109" s="75" t="s">
        <v>427</v>
      </c>
      <c r="C109" s="67">
        <v>0.5</v>
      </c>
      <c r="D109" s="66">
        <v>0</v>
      </c>
      <c r="E109" s="66">
        <v>8</v>
      </c>
      <c r="F109" s="66">
        <v>6</v>
      </c>
      <c r="G109" s="49" t="e">
        <f>H109&amp;IF(I109="e14fr",IF(Karakterlap!$F$3-14&gt;0,"+"&amp;Karakterlap!$F$3-14,""),IF(I109="e16fr",IF(Karakterlap!$F$3-16&gt;0,"+"&amp;Karakterlap!$F$3-16,""),""))</f>
        <v>#VALUE!</v>
      </c>
      <c r="H109" s="66" t="s">
        <v>446</v>
      </c>
      <c r="I109" s="49" t="s">
        <v>247</v>
      </c>
      <c r="J109" s="66">
        <v>5</v>
      </c>
      <c r="K109" s="66" t="s">
        <v>251</v>
      </c>
      <c r="L109" s="57" t="s">
        <v>220</v>
      </c>
      <c r="M109" s="57" t="s">
        <v>275</v>
      </c>
      <c r="O109" s="69" t="s">
        <v>237</v>
      </c>
      <c r="P109" s="57" t="s">
        <v>413</v>
      </c>
    </row>
    <row r="110" spans="1:16" x14ac:dyDescent="0.2">
      <c r="A110" s="65" t="s">
        <v>447</v>
      </c>
      <c r="B110" s="75" t="s">
        <v>427</v>
      </c>
      <c r="C110" s="66">
        <v>1</v>
      </c>
      <c r="D110" s="66">
        <v>4</v>
      </c>
      <c r="E110" s="66">
        <v>13</v>
      </c>
      <c r="F110" s="66">
        <v>11</v>
      </c>
      <c r="G110" s="49" t="e">
        <f>H110&amp;IF(I110="e14fr",IF(Karakterlap!$F$3-14&gt;0,"+"&amp;Karakterlap!$F$3-14,""),IF(I110="e16fr",IF(Karakterlap!$F$3-16&gt;0,"+"&amp;Karakterlap!$F$3-16,""),""))</f>
        <v>#VALUE!</v>
      </c>
      <c r="H110" s="66" t="s">
        <v>271</v>
      </c>
      <c r="I110" s="49" t="s">
        <v>247</v>
      </c>
      <c r="J110" s="66">
        <v>2</v>
      </c>
      <c r="K110" s="66" t="s">
        <v>444</v>
      </c>
      <c r="L110" s="57" t="s">
        <v>218</v>
      </c>
      <c r="M110" s="57" t="s">
        <v>237</v>
      </c>
      <c r="O110" s="69" t="s">
        <v>237</v>
      </c>
      <c r="P110" s="57" t="s">
        <v>429</v>
      </c>
    </row>
    <row r="111" spans="1:16" x14ac:dyDescent="0.2">
      <c r="A111" s="1" t="s">
        <v>448</v>
      </c>
      <c r="B111" s="75" t="s">
        <v>427</v>
      </c>
      <c r="C111" s="49">
        <v>2</v>
      </c>
      <c r="D111" s="49">
        <v>9</v>
      </c>
      <c r="E111" s="49">
        <v>19</v>
      </c>
      <c r="F111" s="49">
        <v>13</v>
      </c>
      <c r="G111" s="49" t="e">
        <f>H111&amp;IF(I111="e14fr",IF(Karakterlap!$F$3-14&gt;0,"+"&amp;Karakterlap!$F$3-14,""),IF(I111="e16fr",IF(Karakterlap!$F$3-16&gt;0,"+"&amp;Karakterlap!$F$3-16,""),""))</f>
        <v>#VALUE!</v>
      </c>
      <c r="H111" s="49" t="s">
        <v>224</v>
      </c>
      <c r="I111" s="49" t="s">
        <v>247</v>
      </c>
      <c r="J111" s="49">
        <v>0.5</v>
      </c>
      <c r="K111" s="49" t="s">
        <v>288</v>
      </c>
      <c r="L111" s="57" t="s">
        <v>218</v>
      </c>
      <c r="M111" s="57" t="s">
        <v>237</v>
      </c>
      <c r="O111" s="69" t="s">
        <v>237</v>
      </c>
      <c r="P111" s="57" t="s">
        <v>302</v>
      </c>
    </row>
    <row r="112" spans="1:16" x14ac:dyDescent="0.2">
      <c r="A112" s="65" t="s">
        <v>449</v>
      </c>
      <c r="B112" s="75" t="s">
        <v>427</v>
      </c>
      <c r="C112" s="66">
        <v>1</v>
      </c>
      <c r="D112" s="66">
        <v>9</v>
      </c>
      <c r="E112" s="66">
        <v>9</v>
      </c>
      <c r="F112" s="66">
        <v>17</v>
      </c>
      <c r="G112" s="49" t="e">
        <f>H112&amp;IF(I112="e14fr",IF(Karakterlap!$F$3-14&gt;0,"+"&amp;Karakterlap!$F$3-14,""),IF(I112="e16fr",IF(Karakterlap!$F$3-16&gt;0,"+"&amp;Karakterlap!$F$3-16,""),""))</f>
        <v>#VALUE!</v>
      </c>
      <c r="H112" s="66" t="s">
        <v>216</v>
      </c>
      <c r="I112" s="49" t="s">
        <v>247</v>
      </c>
      <c r="J112" s="66">
        <v>0.7</v>
      </c>
      <c r="K112" s="66" t="s">
        <v>450</v>
      </c>
      <c r="L112" s="57" t="s">
        <v>218</v>
      </c>
      <c r="M112" s="57" t="s">
        <v>237</v>
      </c>
      <c r="O112" s="69" t="s">
        <v>237</v>
      </c>
      <c r="P112" s="57" t="s">
        <v>429</v>
      </c>
    </row>
    <row r="113" spans="1:16" x14ac:dyDescent="0.2">
      <c r="A113" s="65" t="s">
        <v>451</v>
      </c>
      <c r="B113" s="75" t="s">
        <v>427</v>
      </c>
      <c r="C113" s="66">
        <v>1</v>
      </c>
      <c r="D113" s="66">
        <v>8</v>
      </c>
      <c r="E113" s="66">
        <v>13</v>
      </c>
      <c r="F113" s="66">
        <v>14</v>
      </c>
      <c r="G113" s="49" t="e">
        <f>H113&amp;IF(I113="e14fr",IF(Karakterlap!$F$3-14&gt;0,"+"&amp;Karakterlap!$F$3-14,""),IF(I113="e16fr",IF(Karakterlap!$F$3-16&gt;0,"+"&amp;Karakterlap!$F$3-16,""),""))</f>
        <v>#VALUE!</v>
      </c>
      <c r="H113" s="66" t="s">
        <v>254</v>
      </c>
      <c r="I113" s="49" t="s">
        <v>247</v>
      </c>
      <c r="J113" s="66">
        <v>1.8</v>
      </c>
      <c r="K113" s="66" t="s">
        <v>378</v>
      </c>
      <c r="L113" s="57" t="s">
        <v>218</v>
      </c>
      <c r="M113" s="57" t="s">
        <v>237</v>
      </c>
      <c r="O113" s="69" t="s">
        <v>237</v>
      </c>
      <c r="P113" s="57" t="s">
        <v>413</v>
      </c>
    </row>
    <row r="114" spans="1:16" x14ac:dyDescent="0.2">
      <c r="A114" s="65" t="s">
        <v>452</v>
      </c>
      <c r="B114" s="75" t="s">
        <v>427</v>
      </c>
      <c r="C114" s="67">
        <v>0.5</v>
      </c>
      <c r="D114" s="66">
        <v>4</v>
      </c>
      <c r="E114" s="66">
        <v>10</v>
      </c>
      <c r="F114" s="66">
        <v>8</v>
      </c>
      <c r="G114" s="49" t="e">
        <f>H114&amp;IF(I114="e14fr",IF(Karakterlap!$F$3-14&gt;0,"+"&amp;Karakterlap!$F$3-14,""),IF(I114="e16fr",IF(Karakterlap!$F$3-16&gt;0,"+"&amp;Karakterlap!$F$3-16,""),""))</f>
        <v>#VALUE!</v>
      </c>
      <c r="H114" s="66" t="s">
        <v>343</v>
      </c>
      <c r="I114" s="49" t="s">
        <v>247</v>
      </c>
      <c r="J114" s="66">
        <v>3</v>
      </c>
      <c r="K114" s="66" t="s">
        <v>321</v>
      </c>
      <c r="L114" s="57" t="s">
        <v>220</v>
      </c>
      <c r="M114" s="57" t="s">
        <v>237</v>
      </c>
      <c r="O114" s="69" t="s">
        <v>237</v>
      </c>
      <c r="P114" s="57" t="s">
        <v>413</v>
      </c>
    </row>
    <row r="115" spans="1:16" x14ac:dyDescent="0.2">
      <c r="A115" s="65" t="s">
        <v>453</v>
      </c>
      <c r="B115" s="75" t="s">
        <v>427</v>
      </c>
      <c r="C115" s="66">
        <v>1</v>
      </c>
      <c r="D115" s="66">
        <v>7</v>
      </c>
      <c r="E115" s="66">
        <v>12</v>
      </c>
      <c r="F115" s="66">
        <v>14</v>
      </c>
      <c r="G115" s="49" t="e">
        <f>H115&amp;IF(I115="e14fr",IF(Karakterlap!$F$3-14&gt;0,"+"&amp;Karakterlap!$F$3-14,""),IF(I115="e16fr",IF(Karakterlap!$F$3-16&gt;0,"+"&amp;Karakterlap!$F$3-16,""),""))</f>
        <v>#VALUE!</v>
      </c>
      <c r="H115" s="66" t="s">
        <v>254</v>
      </c>
      <c r="I115" s="49" t="s">
        <v>247</v>
      </c>
      <c r="J115" s="66">
        <v>2</v>
      </c>
      <c r="K115" s="66" t="s">
        <v>454</v>
      </c>
      <c r="L115" s="57" t="s">
        <v>218</v>
      </c>
      <c r="M115" s="57" t="s">
        <v>237</v>
      </c>
      <c r="O115" s="69" t="s">
        <v>237</v>
      </c>
      <c r="P115" s="57" t="s">
        <v>429</v>
      </c>
    </row>
    <row r="116" spans="1:16" x14ac:dyDescent="0.2">
      <c r="A116" s="1" t="s">
        <v>455</v>
      </c>
      <c r="B116" s="75" t="s">
        <v>427</v>
      </c>
      <c r="C116" s="49">
        <v>1</v>
      </c>
      <c r="D116" s="49">
        <v>8</v>
      </c>
      <c r="E116" s="49">
        <v>12</v>
      </c>
      <c r="F116" s="49">
        <v>19</v>
      </c>
      <c r="G116" s="49" t="e">
        <f>H116&amp;IF(I116="e14fr",IF(Karakterlap!$F$3-14&gt;0,"+"&amp;Karakterlap!$F$3-14,""),IF(I116="e16fr",IF(Karakterlap!$F$3-16&gt;0,"+"&amp;Karakterlap!$F$3-16,""),""))</f>
        <v>#VALUE!</v>
      </c>
      <c r="H116" s="49" t="s">
        <v>231</v>
      </c>
      <c r="I116" s="49" t="s">
        <v>247</v>
      </c>
      <c r="J116" s="49">
        <v>0.4</v>
      </c>
      <c r="K116" s="49" t="s">
        <v>288</v>
      </c>
      <c r="L116" s="57" t="s">
        <v>218</v>
      </c>
      <c r="M116" s="57" t="s">
        <v>237</v>
      </c>
      <c r="O116" s="69" t="s">
        <v>237</v>
      </c>
      <c r="P116" s="57" t="s">
        <v>302</v>
      </c>
    </row>
    <row r="117" spans="1:16" x14ac:dyDescent="0.2">
      <c r="A117" s="1" t="s">
        <v>456</v>
      </c>
      <c r="B117" s="75" t="s">
        <v>427</v>
      </c>
      <c r="C117" s="49">
        <v>1</v>
      </c>
      <c r="D117" s="49">
        <v>6</v>
      </c>
      <c r="E117" s="49">
        <v>15</v>
      </c>
      <c r="F117" s="49">
        <v>13</v>
      </c>
      <c r="G117" s="49" t="e">
        <f>H117&amp;IF(I117="e14fr",IF(Karakterlap!$F$3-14&gt;0,"+"&amp;Karakterlap!$F$3-14,""),IF(I117="e16fr",IF(Karakterlap!$F$3-16&gt;0,"+"&amp;Karakterlap!$F$3-16,""),""))</f>
        <v>#VALUE!</v>
      </c>
      <c r="H117" s="49" t="s">
        <v>263</v>
      </c>
      <c r="I117" s="49" t="s">
        <v>247</v>
      </c>
      <c r="J117" s="49">
        <v>2</v>
      </c>
      <c r="K117" s="49" t="s">
        <v>258</v>
      </c>
      <c r="L117" s="57" t="s">
        <v>218</v>
      </c>
      <c r="M117" s="57" t="s">
        <v>309</v>
      </c>
      <c r="O117" s="69" t="s">
        <v>237</v>
      </c>
      <c r="P117" s="57" t="s">
        <v>283</v>
      </c>
    </row>
    <row r="118" spans="1:16" x14ac:dyDescent="0.2">
      <c r="A118" s="65" t="s">
        <v>457</v>
      </c>
      <c r="B118" s="75" t="s">
        <v>427</v>
      </c>
      <c r="C118" s="66">
        <v>1</v>
      </c>
      <c r="D118" s="66">
        <v>7</v>
      </c>
      <c r="E118" s="66">
        <v>12</v>
      </c>
      <c r="F118" s="66">
        <v>13</v>
      </c>
      <c r="G118" s="49" t="e">
        <f>H118&amp;IF(I118="e14fr",IF(Karakterlap!$F$3-14&gt;0,"+"&amp;Karakterlap!$F$3-14,""),IF(I118="e16fr",IF(Karakterlap!$F$3-16&gt;0,"+"&amp;Karakterlap!$F$3-16,""),""))</f>
        <v>#VALUE!</v>
      </c>
      <c r="H118" s="66" t="s">
        <v>224</v>
      </c>
      <c r="I118" s="49" t="s">
        <v>247</v>
      </c>
      <c r="J118" s="66">
        <v>2</v>
      </c>
      <c r="K118" s="66" t="s">
        <v>244</v>
      </c>
      <c r="L118" s="57" t="s">
        <v>218</v>
      </c>
      <c r="M118" s="57" t="s">
        <v>241</v>
      </c>
      <c r="O118" s="69" t="s">
        <v>237</v>
      </c>
      <c r="P118" s="57" t="s">
        <v>429</v>
      </c>
    </row>
    <row r="119" spans="1:16" x14ac:dyDescent="0.2">
      <c r="A119" s="1" t="s">
        <v>458</v>
      </c>
      <c r="B119" s="75" t="s">
        <v>427</v>
      </c>
      <c r="C119" s="49">
        <v>2</v>
      </c>
      <c r="D119" s="49">
        <v>10</v>
      </c>
      <c r="E119" s="49">
        <v>18</v>
      </c>
      <c r="F119" s="49">
        <v>3</v>
      </c>
      <c r="G119" s="49" t="e">
        <f>H119&amp;IF(I119="e14fr",IF(Karakterlap!$F$3-14&gt;0,"+"&amp;Karakterlap!$F$3-14,""),IF(I119="e16fr",IF(Karakterlap!$F$3-16&gt;0,"+"&amp;Karakterlap!$F$3-16,""),""))</f>
        <v>#VALUE!</v>
      </c>
      <c r="H119" s="49" t="s">
        <v>231</v>
      </c>
      <c r="I119" s="49" t="s">
        <v>247</v>
      </c>
      <c r="J119" s="49">
        <v>0.4</v>
      </c>
      <c r="K119" s="49" t="s">
        <v>321</v>
      </c>
      <c r="L119" s="57" t="s">
        <v>218</v>
      </c>
      <c r="M119" s="57" t="s">
        <v>237</v>
      </c>
      <c r="O119" s="69" t="s">
        <v>237</v>
      </c>
      <c r="P119" s="57" t="s">
        <v>302</v>
      </c>
    </row>
    <row r="120" spans="1:16" x14ac:dyDescent="0.2">
      <c r="A120" s="1" t="s">
        <v>459</v>
      </c>
      <c r="B120" s="75" t="s">
        <v>427</v>
      </c>
      <c r="C120" s="49">
        <v>2</v>
      </c>
      <c r="D120" s="49">
        <v>8</v>
      </c>
      <c r="E120" s="49">
        <v>9</v>
      </c>
      <c r="F120" s="49">
        <v>4</v>
      </c>
      <c r="G120" s="49" t="e">
        <f>H120&amp;IF(I120="e14fr",IF(Karakterlap!$F$3-14&gt;0,"+"&amp;Karakterlap!$F$3-14,""),IF(I120="e16fr",IF(Karakterlap!$F$3-16&gt;0,"+"&amp;Karakterlap!$F$3-16,""),""))</f>
        <v>#VALUE!</v>
      </c>
      <c r="H120" s="49" t="s">
        <v>224</v>
      </c>
      <c r="I120" s="49" t="s">
        <v>247</v>
      </c>
      <c r="J120" s="49">
        <v>0.6</v>
      </c>
      <c r="K120" s="49" t="s">
        <v>368</v>
      </c>
      <c r="L120" s="57" t="s">
        <v>218</v>
      </c>
      <c r="M120" s="57" t="s">
        <v>237</v>
      </c>
      <c r="O120" s="69" t="s">
        <v>237</v>
      </c>
      <c r="P120" s="57" t="s">
        <v>283</v>
      </c>
    </row>
    <row r="121" spans="1:16" x14ac:dyDescent="0.2">
      <c r="A121" s="1" t="s">
        <v>460</v>
      </c>
      <c r="B121" s="75" t="s">
        <v>427</v>
      </c>
      <c r="C121" s="49">
        <v>2</v>
      </c>
      <c r="D121" s="49">
        <v>0</v>
      </c>
      <c r="E121" s="49">
        <v>0</v>
      </c>
      <c r="F121" s="49">
        <v>5</v>
      </c>
      <c r="G121" s="49" t="e">
        <f>H121&amp;IF(I121="e14fr",IF(Karakterlap!$F$3-14&gt;0,"+"&amp;Karakterlap!$F$3-14,""),IF(I121="e16fr",IF(Karakterlap!$F$3-16&gt;0,"+"&amp;Karakterlap!$F$3-16,""),""))</f>
        <v>#VALUE!</v>
      </c>
      <c r="H121" s="49" t="s">
        <v>254</v>
      </c>
      <c r="I121" s="49" t="s">
        <v>247</v>
      </c>
      <c r="J121" s="49">
        <v>0.2</v>
      </c>
      <c r="K121" s="49" t="s">
        <v>368</v>
      </c>
      <c r="L121" s="57" t="s">
        <v>218</v>
      </c>
      <c r="M121" s="57" t="s">
        <v>237</v>
      </c>
      <c r="O121" s="69" t="s">
        <v>461</v>
      </c>
      <c r="P121" s="57" t="s">
        <v>246</v>
      </c>
    </row>
    <row r="122" spans="1:16" x14ac:dyDescent="0.2">
      <c r="A122" s="1" t="s">
        <v>462</v>
      </c>
      <c r="B122" s="75" t="s">
        <v>427</v>
      </c>
      <c r="C122" s="67">
        <v>0.5</v>
      </c>
      <c r="D122" s="49">
        <v>3</v>
      </c>
      <c r="E122" s="49">
        <v>7</v>
      </c>
      <c r="F122" s="49">
        <v>6</v>
      </c>
      <c r="G122" s="49" t="e">
        <f>H122&amp;IF(I122="e14fr",IF(Karakterlap!$F$3-14&gt;0,"+"&amp;Karakterlap!$F$3-14,""),IF(I122="e16fr",IF(Karakterlap!$F$3-16&gt;0,"+"&amp;Karakterlap!$F$3-16,""),""))</f>
        <v>#VALUE!</v>
      </c>
      <c r="H122" s="49" t="s">
        <v>463</v>
      </c>
      <c r="I122" s="49" t="s">
        <v>247</v>
      </c>
      <c r="J122" s="49">
        <v>4</v>
      </c>
      <c r="K122" s="49" t="s">
        <v>240</v>
      </c>
      <c r="L122" s="57" t="s">
        <v>220</v>
      </c>
      <c r="M122" s="57" t="s">
        <v>237</v>
      </c>
      <c r="O122" s="69" t="s">
        <v>237</v>
      </c>
      <c r="P122" s="57" t="s">
        <v>464</v>
      </c>
    </row>
    <row r="123" spans="1:16" x14ac:dyDescent="0.2">
      <c r="A123" s="1" t="s">
        <v>465</v>
      </c>
      <c r="B123" s="75" t="s">
        <v>427</v>
      </c>
      <c r="C123" s="67">
        <v>0.5</v>
      </c>
      <c r="D123" s="49">
        <v>0</v>
      </c>
      <c r="E123" s="49">
        <v>8</v>
      </c>
      <c r="F123" s="49">
        <v>6</v>
      </c>
      <c r="G123" s="49" t="e">
        <f>H123&amp;IF(I123="e14fr",IF(Karakterlap!$F$3-14&gt;0,"+"&amp;Karakterlap!$F$3-14,""),IF(I123="e16fr",IF(Karakterlap!$F$3-16&gt;0,"+"&amp;Karakterlap!$F$3-16,""),""))</f>
        <v>#VALUE!</v>
      </c>
      <c r="H123" s="49" t="s">
        <v>466</v>
      </c>
      <c r="I123" s="49" t="s">
        <v>247</v>
      </c>
      <c r="J123" s="49">
        <v>5</v>
      </c>
      <c r="K123" s="49" t="s">
        <v>272</v>
      </c>
      <c r="L123" s="57" t="s">
        <v>220</v>
      </c>
      <c r="M123" s="57" t="s">
        <v>275</v>
      </c>
      <c r="O123" s="69" t="s">
        <v>467</v>
      </c>
      <c r="P123" s="57" t="s">
        <v>464</v>
      </c>
    </row>
    <row r="124" spans="1:16" x14ac:dyDescent="0.2">
      <c r="A124" s="1" t="s">
        <v>468</v>
      </c>
      <c r="B124" s="75" t="s">
        <v>427</v>
      </c>
      <c r="C124" s="49">
        <v>1</v>
      </c>
      <c r="D124" s="49">
        <v>3</v>
      </c>
      <c r="E124" s="49">
        <v>8</v>
      </c>
      <c r="F124" s="49">
        <v>10</v>
      </c>
      <c r="G124" s="49" t="e">
        <f>H124&amp;IF(I124="e14fr",IF(Karakterlap!$F$3-14&gt;0,"+"&amp;Karakterlap!$F$3-14,""),IF(I124="e16fr",IF(Karakterlap!$F$3-16&gt;0,"+"&amp;Karakterlap!$F$3-16,""),""))</f>
        <v>#VALUE!</v>
      </c>
      <c r="H124" s="49" t="s">
        <v>271</v>
      </c>
      <c r="I124" s="49" t="s">
        <v>247</v>
      </c>
      <c r="J124" s="49">
        <v>3</v>
      </c>
      <c r="K124" s="49" t="s">
        <v>469</v>
      </c>
      <c r="L124" s="57" t="s">
        <v>220</v>
      </c>
      <c r="M124" s="57" t="s">
        <v>237</v>
      </c>
      <c r="O124" s="69" t="s">
        <v>470</v>
      </c>
      <c r="P124" s="57" t="s">
        <v>471</v>
      </c>
    </row>
    <row r="125" spans="1:16" x14ac:dyDescent="0.2">
      <c r="A125" s="1" t="s">
        <v>472</v>
      </c>
      <c r="B125" s="75" t="s">
        <v>427</v>
      </c>
      <c r="C125" s="67">
        <v>0.5</v>
      </c>
      <c r="D125" s="49">
        <v>2</v>
      </c>
      <c r="E125" s="49">
        <v>11</v>
      </c>
      <c r="F125" s="49">
        <v>8</v>
      </c>
      <c r="G125" s="49" t="e">
        <f>H125&amp;IF(I125="e14fr",IF(Karakterlap!$F$3-14&gt;0,"+"&amp;Karakterlap!$F$3-14,""),IF(I125="e16fr",IF(Karakterlap!$F$3-16&gt;0,"+"&amp;Karakterlap!$F$3-16,""),""))</f>
        <v>#VALUE!</v>
      </c>
      <c r="H125" s="49" t="s">
        <v>307</v>
      </c>
      <c r="I125" s="49" t="s">
        <v>247</v>
      </c>
      <c r="J125" s="49">
        <v>4</v>
      </c>
      <c r="K125" s="49" t="s">
        <v>255</v>
      </c>
      <c r="L125" s="57" t="s">
        <v>220</v>
      </c>
      <c r="M125" s="57" t="s">
        <v>237</v>
      </c>
      <c r="O125" s="69" t="s">
        <v>473</v>
      </c>
      <c r="P125" s="57" t="s">
        <v>471</v>
      </c>
    </row>
    <row r="126" spans="1:16" x14ac:dyDescent="0.2">
      <c r="A126" s="1" t="s">
        <v>474</v>
      </c>
      <c r="B126" s="75" t="s">
        <v>427</v>
      </c>
      <c r="C126" s="49">
        <v>1</v>
      </c>
      <c r="D126" s="49">
        <v>4</v>
      </c>
      <c r="E126" s="49">
        <v>10</v>
      </c>
      <c r="F126" s="49">
        <v>16</v>
      </c>
      <c r="G126" s="49" t="e">
        <f>H126&amp;IF(I126="e14fr",IF(Karakterlap!$F$3-14&gt;0,"+"&amp;Karakterlap!$F$3-14,""),IF(I126="e16fr",IF(Karakterlap!$F$3-16&gt;0,"+"&amp;Karakterlap!$F$3-16,""),""))</f>
        <v>#VALUE!</v>
      </c>
      <c r="H126" s="49" t="s">
        <v>300</v>
      </c>
      <c r="I126" s="49" t="s">
        <v>247</v>
      </c>
      <c r="J126" s="49">
        <v>1.2</v>
      </c>
      <c r="K126" s="49" t="s">
        <v>475</v>
      </c>
      <c r="L126" s="57" t="s">
        <v>220</v>
      </c>
      <c r="M126" s="57" t="s">
        <v>237</v>
      </c>
      <c r="O126" s="69" t="s">
        <v>476</v>
      </c>
      <c r="P126" s="57" t="s">
        <v>471</v>
      </c>
    </row>
    <row r="127" spans="1:16" x14ac:dyDescent="0.2">
      <c r="A127" s="1" t="s">
        <v>477</v>
      </c>
      <c r="B127" s="75" t="s">
        <v>427</v>
      </c>
      <c r="C127" s="49">
        <v>1</v>
      </c>
      <c r="D127" s="49">
        <v>6</v>
      </c>
      <c r="E127" s="49">
        <v>10</v>
      </c>
      <c r="F127" s="49">
        <v>15</v>
      </c>
      <c r="G127" s="49" t="e">
        <f>H127&amp;IF(I127="e14fr",IF(Karakterlap!$F$3-14&gt;0,"+"&amp;Karakterlap!$F$3-14,""),IF(I127="e16fr",IF(Karakterlap!$F$3-16&gt;0,"+"&amp;Karakterlap!$F$3-16,""),""))</f>
        <v>#VALUE!</v>
      </c>
      <c r="H127" s="49" t="s">
        <v>478</v>
      </c>
      <c r="I127" s="49" t="s">
        <v>247</v>
      </c>
      <c r="J127" s="49">
        <v>1</v>
      </c>
      <c r="K127" s="49" t="s">
        <v>479</v>
      </c>
      <c r="L127" s="57" t="s">
        <v>218</v>
      </c>
      <c r="M127" s="57" t="s">
        <v>237</v>
      </c>
      <c r="O127" s="69" t="s">
        <v>480</v>
      </c>
      <c r="P127" s="57" t="s">
        <v>471</v>
      </c>
    </row>
    <row r="128" spans="1:16" x14ac:dyDescent="0.2">
      <c r="A128" s="1" t="s">
        <v>481</v>
      </c>
      <c r="B128" s="75" t="s">
        <v>427</v>
      </c>
      <c r="C128" s="49">
        <v>1</v>
      </c>
      <c r="D128" s="49">
        <v>9</v>
      </c>
      <c r="E128" s="49">
        <v>9</v>
      </c>
      <c r="F128" s="49">
        <v>17</v>
      </c>
      <c r="G128" s="49" t="e">
        <f>H128&amp;IF(I128="e14fr",IF(Karakterlap!$F$3-14&gt;0,"+"&amp;Karakterlap!$F$3-14,""),IF(I128="e16fr",IF(Karakterlap!$F$3-16&gt;0,"+"&amp;Karakterlap!$F$3-16,""),""))</f>
        <v>#VALUE!</v>
      </c>
      <c r="H128" s="49" t="s">
        <v>216</v>
      </c>
      <c r="I128" s="49" t="s">
        <v>247</v>
      </c>
      <c r="J128" s="49">
        <v>0.7</v>
      </c>
      <c r="K128" s="49" t="s">
        <v>479</v>
      </c>
      <c r="L128" s="57" t="s">
        <v>218</v>
      </c>
      <c r="M128" s="57" t="s">
        <v>237</v>
      </c>
      <c r="O128" s="69" t="s">
        <v>482</v>
      </c>
      <c r="P128" s="57" t="s">
        <v>483</v>
      </c>
    </row>
    <row r="129" spans="1:16" x14ac:dyDescent="0.2">
      <c r="A129" s="1"/>
      <c r="B129" s="75"/>
      <c r="C129" s="85"/>
      <c r="D129" s="85"/>
      <c r="E129" s="85"/>
      <c r="F129" s="85"/>
      <c r="G129" s="85"/>
      <c r="H129" s="85"/>
      <c r="I129" s="85"/>
      <c r="J129" s="85"/>
      <c r="K129" s="85"/>
      <c r="L129" s="57"/>
      <c r="M129" s="57"/>
      <c r="O129" s="69"/>
      <c r="P129" s="57"/>
    </row>
    <row r="130" spans="1:16" x14ac:dyDescent="0.2">
      <c r="A130" s="86" t="s">
        <v>967</v>
      </c>
      <c r="B130" s="75"/>
      <c r="C130" s="85"/>
      <c r="D130" s="85"/>
      <c r="E130" s="85"/>
      <c r="F130" s="85"/>
      <c r="G130" s="85"/>
      <c r="H130" s="85"/>
      <c r="I130" s="85"/>
      <c r="J130" s="85"/>
      <c r="K130" s="85"/>
      <c r="L130" s="57"/>
      <c r="M130" s="57"/>
      <c r="O130" s="69"/>
      <c r="P130" s="57"/>
    </row>
    <row r="131" spans="1:16" x14ac:dyDescent="0.2">
      <c r="A131" s="1"/>
      <c r="B131" s="75"/>
      <c r="C131" s="85"/>
      <c r="D131" s="85"/>
      <c r="E131" s="85"/>
      <c r="F131" s="85"/>
      <c r="G131" s="85"/>
      <c r="H131" s="85"/>
      <c r="I131" s="85"/>
      <c r="J131" s="85"/>
      <c r="K131" s="85"/>
      <c r="L131" s="57"/>
      <c r="M131" s="57"/>
      <c r="O131" s="69"/>
      <c r="P131" s="57"/>
    </row>
    <row r="132" spans="1:16" x14ac:dyDescent="0.2">
      <c r="A132" s="1" t="s">
        <v>484</v>
      </c>
      <c r="B132" s="51" t="s">
        <v>485</v>
      </c>
      <c r="C132" s="61">
        <v>0.5</v>
      </c>
      <c r="D132" s="49">
        <v>1</v>
      </c>
      <c r="E132" s="49">
        <v>14</v>
      </c>
      <c r="F132" s="49">
        <v>15</v>
      </c>
      <c r="G132" s="49" t="e">
        <f>H132&amp;IF(I132="e14fr",IF(Karakterlap!$F$3-14&gt;0,"+"&amp;Karakterlap!$F$3-14,""),IF(I132="e16fr",IF(Karakterlap!$F$3-16&gt;0,"+"&amp;Karakterlap!$F$3-16,""),""))</f>
        <v>#VALUE!</v>
      </c>
      <c r="H132" s="49" t="s">
        <v>446</v>
      </c>
      <c r="I132" s="57" t="s">
        <v>217</v>
      </c>
      <c r="J132" s="49">
        <v>3</v>
      </c>
      <c r="K132" s="49" t="s">
        <v>294</v>
      </c>
      <c r="L132" s="57" t="s">
        <v>220</v>
      </c>
      <c r="M132" s="57" t="s">
        <v>275</v>
      </c>
      <c r="O132" s="69" t="s">
        <v>237</v>
      </c>
      <c r="P132" s="57" t="s">
        <v>413</v>
      </c>
    </row>
    <row r="133" spans="1:16" x14ac:dyDescent="0.2">
      <c r="A133" s="1" t="s">
        <v>486</v>
      </c>
      <c r="B133" s="51" t="s">
        <v>485</v>
      </c>
      <c r="C133" s="49">
        <v>1</v>
      </c>
      <c r="D133" s="49">
        <v>5</v>
      </c>
      <c r="E133" s="49">
        <v>10</v>
      </c>
      <c r="F133" s="49">
        <v>8</v>
      </c>
      <c r="G133" s="49" t="e">
        <f>H133&amp;IF(I133="e14fr",IF(Karakterlap!$F$3-14&gt;0,"+"&amp;Karakterlap!$F$3-14,""),IF(I133="e16fr",IF(Karakterlap!$F$3-16&gt;0,"+"&amp;Karakterlap!$F$3-16,""),""))</f>
        <v>#VALUE!</v>
      </c>
      <c r="H133" s="49" t="s">
        <v>300</v>
      </c>
      <c r="I133" s="57" t="s">
        <v>217</v>
      </c>
      <c r="J133" s="49">
        <v>1.5</v>
      </c>
      <c r="K133" s="49" t="s">
        <v>237</v>
      </c>
      <c r="L133" s="57" t="s">
        <v>220</v>
      </c>
      <c r="M133" s="57" t="s">
        <v>237</v>
      </c>
      <c r="O133" s="69" t="s">
        <v>487</v>
      </c>
      <c r="P133" s="57" t="s">
        <v>464</v>
      </c>
    </row>
    <row r="134" spans="1:16" x14ac:dyDescent="0.2">
      <c r="A134" s="1" t="s">
        <v>488</v>
      </c>
      <c r="B134" s="51" t="s">
        <v>485</v>
      </c>
      <c r="C134" s="61">
        <v>0.5</v>
      </c>
      <c r="D134" s="49">
        <v>2</v>
      </c>
      <c r="E134" s="49">
        <v>14</v>
      </c>
      <c r="F134" s="49">
        <v>10</v>
      </c>
      <c r="G134" s="49" t="e">
        <f>H134&amp;IF(I134="e14fr",IF(Karakterlap!$F$3-14&gt;0,"+"&amp;Karakterlap!$F$3-14,""),IF(I134="e16fr",IF(Karakterlap!$F$3-16&gt;0,"+"&amp;Karakterlap!$F$3-16,""),""))</f>
        <v>#VALUE!</v>
      </c>
      <c r="H134" s="49" t="s">
        <v>489</v>
      </c>
      <c r="I134" s="57" t="s">
        <v>217</v>
      </c>
      <c r="J134" s="49">
        <v>6</v>
      </c>
      <c r="K134" s="49" t="s">
        <v>361</v>
      </c>
      <c r="L134" s="57" t="s">
        <v>220</v>
      </c>
      <c r="M134" s="57" t="s">
        <v>226</v>
      </c>
      <c r="O134" s="69" t="s">
        <v>490</v>
      </c>
      <c r="P134" s="57" t="s">
        <v>464</v>
      </c>
    </row>
    <row r="135" spans="1:16" x14ac:dyDescent="0.2">
      <c r="A135" s="1" t="s">
        <v>491</v>
      </c>
      <c r="B135" s="51" t="s">
        <v>485</v>
      </c>
      <c r="C135" s="49">
        <v>1</v>
      </c>
      <c r="D135" s="49">
        <v>5</v>
      </c>
      <c r="E135" s="49">
        <v>12</v>
      </c>
      <c r="F135" s="49">
        <v>12</v>
      </c>
      <c r="G135" s="49" t="e">
        <f>H135&amp;IF(I135="e14fr",IF(Karakterlap!$F$3-14&gt;0,"+"&amp;Karakterlap!$F$3-14,""),IF(I135="e16fr",IF(Karakterlap!$F$3-16&gt;0,"+"&amp;Karakterlap!$F$3-16,""),""))</f>
        <v>#VALUE!</v>
      </c>
      <c r="H135" s="49" t="s">
        <v>492</v>
      </c>
      <c r="I135" s="57" t="s">
        <v>217</v>
      </c>
      <c r="J135" s="49">
        <v>2</v>
      </c>
      <c r="K135" s="49" t="s">
        <v>244</v>
      </c>
      <c r="L135" s="57" t="s">
        <v>220</v>
      </c>
      <c r="M135" s="57" t="s">
        <v>493</v>
      </c>
      <c r="O135" s="69" t="s">
        <v>494</v>
      </c>
      <c r="P135" s="57" t="s">
        <v>408</v>
      </c>
    </row>
    <row r="136" spans="1:16" x14ac:dyDescent="0.2">
      <c r="A136" s="1" t="s">
        <v>495</v>
      </c>
      <c r="B136" s="51" t="s">
        <v>485</v>
      </c>
      <c r="C136" s="49">
        <v>1</v>
      </c>
      <c r="D136" s="49">
        <v>4</v>
      </c>
      <c r="E136" s="49">
        <v>11</v>
      </c>
      <c r="F136" s="49">
        <v>15</v>
      </c>
      <c r="G136" s="49" t="e">
        <f>H136&amp;IF(I136="e14fr",IF(Karakterlap!$F$3-14&gt;0,"+"&amp;Karakterlap!$F$3-14,""),IF(I136="e16fr",IF(Karakterlap!$F$3-16&gt;0,"+"&amp;Karakterlap!$F$3-16,""),""))</f>
        <v>#VALUE!</v>
      </c>
      <c r="H136" s="49" t="s">
        <v>254</v>
      </c>
      <c r="I136" s="57" t="s">
        <v>217</v>
      </c>
      <c r="J136" s="49">
        <v>4</v>
      </c>
      <c r="K136" s="49" t="s">
        <v>251</v>
      </c>
      <c r="L136" s="57" t="s">
        <v>220</v>
      </c>
      <c r="M136" s="57" t="s">
        <v>226</v>
      </c>
      <c r="O136" s="69" t="s">
        <v>496</v>
      </c>
      <c r="P136" s="57" t="s">
        <v>420</v>
      </c>
    </row>
    <row r="137" spans="1:16" x14ac:dyDescent="0.2">
      <c r="A137" s="1" t="s">
        <v>497</v>
      </c>
      <c r="B137" s="51" t="s">
        <v>485</v>
      </c>
      <c r="C137" s="49">
        <v>1</v>
      </c>
      <c r="D137" s="49">
        <v>3</v>
      </c>
      <c r="E137" s="49">
        <v>14</v>
      </c>
      <c r="F137" s="49">
        <v>11</v>
      </c>
      <c r="G137" s="49" t="e">
        <f>H137&amp;IF(I137="e14fr",IF(Karakterlap!$F$3-14&gt;0,"+"&amp;Karakterlap!$F$3-14,""),IF(I137="e16fr",IF(Karakterlap!$F$3-16&gt;0,"+"&amp;Karakterlap!$F$3-16,""),""))</f>
        <v>#VALUE!</v>
      </c>
      <c r="H137" s="49" t="s">
        <v>345</v>
      </c>
      <c r="I137" s="57" t="s">
        <v>217</v>
      </c>
      <c r="J137" s="49">
        <v>3</v>
      </c>
      <c r="K137" s="49" t="s">
        <v>498</v>
      </c>
      <c r="L137" s="57" t="s">
        <v>220</v>
      </c>
      <c r="M137" s="57" t="s">
        <v>226</v>
      </c>
      <c r="O137" s="69" t="s">
        <v>237</v>
      </c>
      <c r="P137" s="57" t="s">
        <v>464</v>
      </c>
    </row>
    <row r="138" spans="1:16" x14ac:dyDescent="0.2">
      <c r="A138" s="1" t="s">
        <v>499</v>
      </c>
      <c r="B138" s="51" t="s">
        <v>485</v>
      </c>
      <c r="C138" s="49">
        <v>1</v>
      </c>
      <c r="D138" s="49">
        <v>4</v>
      </c>
      <c r="E138" s="49">
        <v>13</v>
      </c>
      <c r="F138" s="49">
        <v>11</v>
      </c>
      <c r="G138" s="49" t="e">
        <f>H138&amp;IF(I138="e14fr",IF(Karakterlap!$F$3-14&gt;0,"+"&amp;Karakterlap!$F$3-14,""),IF(I138="e16fr",IF(Karakterlap!$F$3-16&gt;0,"+"&amp;Karakterlap!$F$3-16,""),""))</f>
        <v>#VALUE!</v>
      </c>
      <c r="H138" s="49" t="s">
        <v>343</v>
      </c>
      <c r="I138" s="57" t="s">
        <v>217</v>
      </c>
      <c r="J138" s="49">
        <v>3</v>
      </c>
      <c r="K138" s="49" t="s">
        <v>469</v>
      </c>
      <c r="L138" s="57" t="s">
        <v>220</v>
      </c>
      <c r="M138" s="57" t="s">
        <v>275</v>
      </c>
      <c r="O138" s="69" t="s">
        <v>500</v>
      </c>
      <c r="P138" s="57" t="s">
        <v>464</v>
      </c>
    </row>
    <row r="139" spans="1:16" x14ac:dyDescent="0.2">
      <c r="A139" s="1" t="s">
        <v>501</v>
      </c>
      <c r="B139" s="51" t="s">
        <v>485</v>
      </c>
      <c r="C139" s="49">
        <v>1</v>
      </c>
      <c r="D139" s="49">
        <v>2</v>
      </c>
      <c r="E139" s="49">
        <v>11</v>
      </c>
      <c r="F139" s="49">
        <v>12</v>
      </c>
      <c r="G139" s="49" t="e">
        <f>H139&amp;IF(I139="e14fr",IF(Karakterlap!$F$3-14&gt;0,"+"&amp;Karakterlap!$F$3-14,""),IF(I139="e16fr",IF(Karakterlap!$F$3-16&gt;0,"+"&amp;Karakterlap!$F$3-16,""),""))</f>
        <v>#VALUE!</v>
      </c>
      <c r="H139" s="49" t="s">
        <v>263</v>
      </c>
      <c r="I139" s="57" t="s">
        <v>217</v>
      </c>
      <c r="J139" s="49">
        <v>2</v>
      </c>
      <c r="K139" s="49" t="s">
        <v>502</v>
      </c>
      <c r="L139" s="57" t="s">
        <v>220</v>
      </c>
      <c r="M139" s="57" t="s">
        <v>220</v>
      </c>
      <c r="O139" s="69" t="s">
        <v>237</v>
      </c>
      <c r="P139" s="57" t="s">
        <v>420</v>
      </c>
    </row>
    <row r="140" spans="1:16" x14ac:dyDescent="0.2">
      <c r="A140" s="1" t="s">
        <v>503</v>
      </c>
      <c r="B140" s="51" t="s">
        <v>485</v>
      </c>
      <c r="C140" s="61">
        <v>0.5</v>
      </c>
      <c r="D140" s="49">
        <v>1</v>
      </c>
      <c r="E140" s="49">
        <v>15</v>
      </c>
      <c r="F140" s="49">
        <v>0</v>
      </c>
      <c r="G140" s="49" t="e">
        <f>H140&amp;IF(I140="e14fr",IF(Karakterlap!$F$3-14&gt;0,"+"&amp;Karakterlap!$F$3-14,""),IF(I140="e16fr",IF(Karakterlap!$F$3-16&gt;0,"+"&amp;Karakterlap!$F$3-16,""),""))</f>
        <v>#VALUE!</v>
      </c>
      <c r="H140" s="49" t="s">
        <v>504</v>
      </c>
      <c r="I140" s="57" t="s">
        <v>217</v>
      </c>
      <c r="J140" s="49">
        <v>3.5</v>
      </c>
      <c r="K140" s="49" t="s">
        <v>244</v>
      </c>
      <c r="L140" s="57" t="s">
        <v>218</v>
      </c>
      <c r="M140" s="57" t="s">
        <v>220</v>
      </c>
      <c r="O140" s="69" t="s">
        <v>237</v>
      </c>
      <c r="P140" s="57" t="s">
        <v>420</v>
      </c>
    </row>
    <row r="141" spans="1:16" x14ac:dyDescent="0.2">
      <c r="A141" s="1" t="s">
        <v>505</v>
      </c>
      <c r="B141" s="51" t="s">
        <v>485</v>
      </c>
      <c r="C141" s="49">
        <v>1</v>
      </c>
      <c r="D141" s="49">
        <v>4</v>
      </c>
      <c r="E141" s="49">
        <v>12</v>
      </c>
      <c r="F141" s="49">
        <v>12</v>
      </c>
      <c r="G141" s="49" t="e">
        <f>H141&amp;IF(I141="e14fr",IF(Karakterlap!$F$3-14&gt;0,"+"&amp;Karakterlap!$F$3-14,""),IF(I141="e16fr",IF(Karakterlap!$F$3-16&gt;0,"+"&amp;Karakterlap!$F$3-16,""),""))</f>
        <v>#VALUE!</v>
      </c>
      <c r="H141" s="49" t="s">
        <v>263</v>
      </c>
      <c r="I141" s="57" t="s">
        <v>217</v>
      </c>
      <c r="J141" s="49">
        <v>2</v>
      </c>
      <c r="K141" s="49" t="s">
        <v>281</v>
      </c>
      <c r="L141" s="57" t="s">
        <v>415</v>
      </c>
      <c r="M141" s="57" t="s">
        <v>259</v>
      </c>
      <c r="O141" s="69" t="s">
        <v>237</v>
      </c>
      <c r="P141" s="57" t="s">
        <v>420</v>
      </c>
    </row>
    <row r="142" spans="1:16" x14ac:dyDescent="0.2">
      <c r="A142" s="1" t="s">
        <v>506</v>
      </c>
      <c r="B142" s="51" t="s">
        <v>485</v>
      </c>
      <c r="C142" s="49">
        <v>1</v>
      </c>
      <c r="D142" s="49">
        <v>4</v>
      </c>
      <c r="E142" s="49">
        <v>12</v>
      </c>
      <c r="F142" s="49">
        <v>12</v>
      </c>
      <c r="G142" s="49" t="e">
        <f>H142&amp;IF(I142="e14fr",IF(Karakterlap!$F$3-14&gt;0,"+"&amp;Karakterlap!$F$3-14,""),IF(I142="e16fr",IF(Karakterlap!$F$3-16&gt;0,"+"&amp;Karakterlap!$F$3-16,""),""))</f>
        <v>#VALUE!</v>
      </c>
      <c r="H142" s="49" t="s">
        <v>263</v>
      </c>
      <c r="I142" s="57" t="s">
        <v>217</v>
      </c>
      <c r="J142" s="49">
        <v>2</v>
      </c>
      <c r="K142" s="49" t="s">
        <v>507</v>
      </c>
      <c r="L142" s="57" t="s">
        <v>220</v>
      </c>
      <c r="M142" s="57" t="s">
        <v>508</v>
      </c>
      <c r="O142" s="69" t="s">
        <v>509</v>
      </c>
      <c r="P142" s="57" t="s">
        <v>464</v>
      </c>
    </row>
    <row r="143" spans="1:16" x14ac:dyDescent="0.2">
      <c r="A143" s="1" t="s">
        <v>510</v>
      </c>
      <c r="B143" s="51" t="s">
        <v>485</v>
      </c>
      <c r="C143" s="61">
        <v>0.33333333333333331</v>
      </c>
      <c r="D143" s="49">
        <v>0</v>
      </c>
      <c r="E143" s="49">
        <v>16</v>
      </c>
      <c r="F143" s="49">
        <v>0</v>
      </c>
      <c r="G143" s="49" t="str">
        <f>H143&amp;IF(I143="e14fr",IF(Karakterlap!$F$3-14&gt;0,"+"&amp;Karakterlap!$F$3-14,""),IF(I143="e16fr",IF(Karakterlap!$F$3-16&gt;0,"+"&amp;Karakterlap!$F$3-16,""),""))</f>
        <v>2K10</v>
      </c>
      <c r="H143" s="49" t="s">
        <v>511</v>
      </c>
      <c r="I143" s="57" t="s">
        <v>219</v>
      </c>
      <c r="J143" s="49">
        <v>5</v>
      </c>
      <c r="K143" s="49" t="s">
        <v>285</v>
      </c>
      <c r="L143" s="57" t="s">
        <v>218</v>
      </c>
      <c r="M143" s="57" t="s">
        <v>259</v>
      </c>
      <c r="O143" s="69" t="s">
        <v>237</v>
      </c>
      <c r="P143" s="57" t="s">
        <v>420</v>
      </c>
    </row>
    <row r="144" spans="1:16" x14ac:dyDescent="0.2">
      <c r="A144" s="1" t="s">
        <v>512</v>
      </c>
      <c r="B144" s="51" t="s">
        <v>485</v>
      </c>
      <c r="C144" s="49">
        <v>1</v>
      </c>
      <c r="D144" s="49">
        <v>4</v>
      </c>
      <c r="E144" s="49">
        <v>12</v>
      </c>
      <c r="F144" s="49">
        <v>13</v>
      </c>
      <c r="G144" s="49" t="e">
        <f>H144&amp;IF(I144="e14fr",IF(Karakterlap!$F$3-14&gt;0,"+"&amp;Karakterlap!$F$3-14,""),IF(I144="e16fr",IF(Karakterlap!$F$3-16&gt;0,"+"&amp;Karakterlap!$F$3-16,""),""))</f>
        <v>#VALUE!</v>
      </c>
      <c r="H144" s="49" t="s">
        <v>513</v>
      </c>
      <c r="I144" s="57" t="s">
        <v>217</v>
      </c>
      <c r="J144" s="49">
        <v>2</v>
      </c>
      <c r="K144" s="49" t="s">
        <v>244</v>
      </c>
      <c r="L144" s="57" t="s">
        <v>220</v>
      </c>
      <c r="M144" s="57" t="s">
        <v>220</v>
      </c>
      <c r="O144" s="69" t="s">
        <v>237</v>
      </c>
      <c r="P144" s="57" t="s">
        <v>420</v>
      </c>
    </row>
    <row r="145" spans="1:16" x14ac:dyDescent="0.2">
      <c r="A145" s="1" t="s">
        <v>514</v>
      </c>
      <c r="B145" s="51" t="s">
        <v>485</v>
      </c>
      <c r="C145" s="61">
        <v>0.5</v>
      </c>
      <c r="D145" s="49">
        <v>2</v>
      </c>
      <c r="E145" s="49">
        <v>8</v>
      </c>
      <c r="F145" s="49">
        <v>10</v>
      </c>
      <c r="G145" s="49" t="e">
        <f>H145&amp;IF(I145="e14fr",IF(Karakterlap!$F$3-14&gt;0,"+"&amp;Karakterlap!$F$3-14,""),IF(I145="e16fr",IF(Karakterlap!$F$3-16&gt;0,"+"&amp;Karakterlap!$F$3-16,""),""))</f>
        <v>#VALUE!</v>
      </c>
      <c r="H145" s="49" t="s">
        <v>515</v>
      </c>
      <c r="I145" s="57" t="s">
        <v>217</v>
      </c>
      <c r="J145" s="49">
        <v>5</v>
      </c>
      <c r="K145" s="49" t="s">
        <v>278</v>
      </c>
      <c r="L145" s="57" t="s">
        <v>220</v>
      </c>
      <c r="M145" s="57" t="s">
        <v>268</v>
      </c>
      <c r="O145" s="69" t="s">
        <v>237</v>
      </c>
      <c r="P145" s="57" t="s">
        <v>408</v>
      </c>
    </row>
    <row r="146" spans="1:16" x14ac:dyDescent="0.2">
      <c r="A146" s="1" t="s">
        <v>516</v>
      </c>
      <c r="B146" s="51" t="s">
        <v>485</v>
      </c>
      <c r="C146" s="49">
        <v>1</v>
      </c>
      <c r="D146" s="49">
        <v>4</v>
      </c>
      <c r="E146" s="49">
        <v>14</v>
      </c>
      <c r="F146" s="49">
        <v>14</v>
      </c>
      <c r="G146" s="49" t="e">
        <f>H146&amp;IF(I146="e14fr",IF(Karakterlap!$F$3-14&gt;0,"+"&amp;Karakterlap!$F$3-14,""),IF(I146="e16fr",IF(Karakterlap!$F$3-16&gt;0,"+"&amp;Karakterlap!$F$3-16,""),""))</f>
        <v>#VALUE!</v>
      </c>
      <c r="H146" s="49" t="s">
        <v>271</v>
      </c>
      <c r="I146" s="57" t="s">
        <v>217</v>
      </c>
      <c r="J146" s="49">
        <v>2.5</v>
      </c>
      <c r="K146" s="49" t="s">
        <v>517</v>
      </c>
      <c r="L146" s="57" t="s">
        <v>220</v>
      </c>
      <c r="M146" s="57" t="s">
        <v>518</v>
      </c>
      <c r="O146" s="69" t="s">
        <v>237</v>
      </c>
      <c r="P146" s="57" t="s">
        <v>464</v>
      </c>
    </row>
    <row r="147" spans="1:16" x14ac:dyDescent="0.2">
      <c r="A147" s="1" t="s">
        <v>519</v>
      </c>
      <c r="B147" s="51" t="s">
        <v>485</v>
      </c>
      <c r="C147" s="49">
        <v>1</v>
      </c>
      <c r="D147" s="49">
        <v>4</v>
      </c>
      <c r="E147" s="49">
        <v>13</v>
      </c>
      <c r="F147" s="49">
        <v>12</v>
      </c>
      <c r="G147" s="49" t="e">
        <f>H147&amp;IF(I147="e14fr",IF(Karakterlap!$F$3-14&gt;0,"+"&amp;Karakterlap!$F$3-14,""),IF(I147="e16fr",IF(Karakterlap!$F$3-16&gt;0,"+"&amp;Karakterlap!$F$3-16,""),""))</f>
        <v>#VALUE!</v>
      </c>
      <c r="H147" s="49" t="s">
        <v>271</v>
      </c>
      <c r="I147" s="57" t="s">
        <v>217</v>
      </c>
      <c r="J147" s="49">
        <v>2</v>
      </c>
      <c r="K147" s="49" t="s">
        <v>244</v>
      </c>
      <c r="L147" s="57" t="s">
        <v>220</v>
      </c>
      <c r="M147" s="57" t="s">
        <v>259</v>
      </c>
      <c r="O147" s="69" t="s">
        <v>520</v>
      </c>
      <c r="P147" s="57" t="s">
        <v>420</v>
      </c>
    </row>
    <row r="148" spans="1:16" x14ac:dyDescent="0.2">
      <c r="A148" s="1" t="s">
        <v>521</v>
      </c>
      <c r="B148" s="51" t="s">
        <v>485</v>
      </c>
      <c r="C148" s="49">
        <v>1</v>
      </c>
      <c r="D148" s="49">
        <v>4</v>
      </c>
      <c r="E148" s="49">
        <v>14</v>
      </c>
      <c r="F148" s="49">
        <v>10</v>
      </c>
      <c r="G148" s="49" t="e">
        <f>H148&amp;IF(I148="e14fr",IF(Karakterlap!$F$3-14&gt;0,"+"&amp;Karakterlap!$F$3-14,""),IF(I148="e16fr",IF(Karakterlap!$F$3-16&gt;0,"+"&amp;Karakterlap!$F$3-16,""),""))</f>
        <v>#VALUE!</v>
      </c>
      <c r="H148" s="49" t="s">
        <v>263</v>
      </c>
      <c r="I148" s="57" t="s">
        <v>217</v>
      </c>
      <c r="J148" s="49">
        <v>2</v>
      </c>
      <c r="K148" s="49" t="s">
        <v>258</v>
      </c>
      <c r="L148" s="57" t="s">
        <v>220</v>
      </c>
      <c r="M148" s="57" t="s">
        <v>220</v>
      </c>
      <c r="O148" s="69" t="s">
        <v>522</v>
      </c>
      <c r="P148" s="57" t="s">
        <v>420</v>
      </c>
    </row>
    <row r="149" spans="1:16" x14ac:dyDescent="0.2">
      <c r="A149" s="1" t="s">
        <v>523</v>
      </c>
      <c r="B149" s="51" t="s">
        <v>485</v>
      </c>
      <c r="C149" s="49">
        <v>1</v>
      </c>
      <c r="D149" s="49">
        <v>4</v>
      </c>
      <c r="E149" s="49">
        <v>13</v>
      </c>
      <c r="F149" s="49">
        <v>12</v>
      </c>
      <c r="G149" s="49" t="e">
        <f>H149&amp;IF(I149="e14fr",IF(Karakterlap!$F$3-14&gt;0,"+"&amp;Karakterlap!$F$3-14,""),IF(I149="e16fr",IF(Karakterlap!$F$3-16&gt;0,"+"&amp;Karakterlap!$F$3-16,""),""))</f>
        <v>#VALUE!</v>
      </c>
      <c r="H149" s="49" t="s">
        <v>271</v>
      </c>
      <c r="I149" s="57" t="s">
        <v>217</v>
      </c>
      <c r="J149" s="49">
        <v>2</v>
      </c>
      <c r="K149" s="49" t="s">
        <v>244</v>
      </c>
      <c r="L149" s="57" t="s">
        <v>220</v>
      </c>
      <c r="M149" s="57" t="s">
        <v>259</v>
      </c>
      <c r="O149" s="69" t="s">
        <v>524</v>
      </c>
      <c r="P149" s="57" t="s">
        <v>420</v>
      </c>
    </row>
    <row r="150" spans="1:16" x14ac:dyDescent="0.2">
      <c r="A150" s="1" t="s">
        <v>525</v>
      </c>
      <c r="B150" s="51" t="s">
        <v>485</v>
      </c>
      <c r="C150" s="49">
        <v>1</v>
      </c>
      <c r="D150" s="49">
        <v>10</v>
      </c>
      <c r="E150" s="49">
        <v>7</v>
      </c>
      <c r="F150" s="49">
        <v>6</v>
      </c>
      <c r="G150" s="49" t="e">
        <f>H150&amp;IF(I150="e14fr",IF(Karakterlap!$F$3-14&gt;0,"+"&amp;Karakterlap!$F$3-14,""),IF(I150="e16fr",IF(Karakterlap!$F$3-16&gt;0,"+"&amp;Karakterlap!$F$3-16,""),""))</f>
        <v>#VALUE!</v>
      </c>
      <c r="H150" s="49" t="s">
        <v>224</v>
      </c>
      <c r="I150" s="57" t="s">
        <v>217</v>
      </c>
      <c r="J150" s="57" t="s">
        <v>259</v>
      </c>
      <c r="K150" s="57" t="s">
        <v>236</v>
      </c>
      <c r="L150" s="57" t="s">
        <v>220</v>
      </c>
      <c r="M150" s="57" t="s">
        <v>259</v>
      </c>
      <c r="O150" s="69" t="s">
        <v>526</v>
      </c>
      <c r="P150" s="57" t="s">
        <v>246</v>
      </c>
    </row>
    <row r="151" spans="1:16" x14ac:dyDescent="0.2">
      <c r="A151" s="1" t="s">
        <v>527</v>
      </c>
      <c r="B151" s="51" t="s">
        <v>485</v>
      </c>
      <c r="C151" s="49">
        <v>1</v>
      </c>
      <c r="D151" s="49">
        <v>4</v>
      </c>
      <c r="E151" s="49">
        <v>15</v>
      </c>
      <c r="F151" s="49">
        <v>10</v>
      </c>
      <c r="G151" s="49" t="e">
        <f>H151&amp;IF(I151="e14fr",IF(Karakterlap!$F$3-14&gt;0,"+"&amp;Karakterlap!$F$3-14,""),IF(I151="e16fr",IF(Karakterlap!$F$3-16&gt;0,"+"&amp;Karakterlap!$F$3-16,""),""))</f>
        <v>#VALUE!</v>
      </c>
      <c r="H151" s="49" t="s">
        <v>279</v>
      </c>
      <c r="I151" s="57" t="s">
        <v>217</v>
      </c>
      <c r="J151" s="49">
        <v>2</v>
      </c>
      <c r="K151" s="49" t="s">
        <v>236</v>
      </c>
      <c r="L151" s="57" t="s">
        <v>415</v>
      </c>
      <c r="M151" s="57" t="s">
        <v>259</v>
      </c>
      <c r="O151" s="69" t="s">
        <v>237</v>
      </c>
      <c r="P151" s="57" t="s">
        <v>420</v>
      </c>
    </row>
    <row r="152" spans="1:16" x14ac:dyDescent="0.2">
      <c r="A152" s="1"/>
      <c r="B152" s="86"/>
      <c r="C152" s="85"/>
      <c r="D152" s="85"/>
      <c r="E152" s="85"/>
      <c r="F152" s="85"/>
      <c r="G152" s="85"/>
      <c r="H152" s="85"/>
      <c r="I152" s="57"/>
      <c r="J152" s="85"/>
      <c r="K152" s="85"/>
      <c r="L152" s="57"/>
      <c r="M152" s="57"/>
      <c r="O152" s="69"/>
      <c r="P152" s="57"/>
    </row>
    <row r="153" spans="1:16" x14ac:dyDescent="0.2">
      <c r="A153" s="33" t="s">
        <v>971</v>
      </c>
      <c r="B153" s="86"/>
      <c r="C153" s="85"/>
      <c r="D153" s="85"/>
      <c r="E153" s="85"/>
      <c r="F153" s="85"/>
      <c r="G153" s="85"/>
      <c r="H153" s="85"/>
      <c r="I153" s="57"/>
      <c r="J153" s="85"/>
      <c r="K153" s="85"/>
      <c r="L153" s="57"/>
      <c r="M153" s="57"/>
      <c r="O153" s="69"/>
      <c r="P153" s="57"/>
    </row>
    <row r="154" spans="1:16" x14ac:dyDescent="0.2">
      <c r="A154" s="1"/>
      <c r="B154" s="86"/>
      <c r="C154" s="85"/>
      <c r="D154" s="85"/>
      <c r="E154" s="85"/>
      <c r="F154" s="85"/>
      <c r="G154" s="85"/>
      <c r="H154" s="85"/>
      <c r="I154" s="57"/>
      <c r="J154" s="85"/>
      <c r="K154" s="85"/>
      <c r="L154" s="57"/>
      <c r="M154" s="57"/>
      <c r="O154" s="69"/>
      <c r="P154" s="57"/>
    </row>
    <row r="155" spans="1:16" x14ac:dyDescent="0.2">
      <c r="A155" s="1" t="s">
        <v>528</v>
      </c>
      <c r="B155" s="51" t="s">
        <v>529</v>
      </c>
      <c r="C155" s="49">
        <v>2</v>
      </c>
      <c r="D155" s="49">
        <v>9</v>
      </c>
      <c r="E155" s="49">
        <v>5</v>
      </c>
      <c r="F155" s="49">
        <v>2</v>
      </c>
      <c r="G155" s="49" t="e">
        <f>H155&amp;IF(I155="e14fr",IF(Karakterlap!$F$3-14&gt;0,"+"&amp;Karakterlap!$F$3-14,""),IF(I155="e16fr",IF(Karakterlap!$F$3-16&gt;0,"+"&amp;Karakterlap!$F$3-16,""),""))</f>
        <v>#VALUE!</v>
      </c>
      <c r="H155" s="49" t="s">
        <v>216</v>
      </c>
      <c r="I155" s="57" t="s">
        <v>217</v>
      </c>
      <c r="J155" s="49">
        <v>0.3</v>
      </c>
      <c r="K155" s="49" t="s">
        <v>530</v>
      </c>
      <c r="L155" s="57" t="s">
        <v>218</v>
      </c>
      <c r="M155" s="57" t="s">
        <v>220</v>
      </c>
      <c r="O155" s="69" t="s">
        <v>531</v>
      </c>
      <c r="P155" s="57" t="s">
        <v>532</v>
      </c>
    </row>
    <row r="156" spans="1:16" x14ac:dyDescent="0.2">
      <c r="A156" s="1" t="s">
        <v>533</v>
      </c>
      <c r="B156" s="51" t="s">
        <v>529</v>
      </c>
      <c r="C156" s="49">
        <v>2</v>
      </c>
      <c r="D156" s="49">
        <v>10</v>
      </c>
      <c r="E156" s="49">
        <v>18</v>
      </c>
      <c r="F156" s="49">
        <v>5</v>
      </c>
      <c r="G156" s="49" t="e">
        <f>H156&amp;IF(I156="e14fr",IF(Karakterlap!$F$3-14&gt;0,"+"&amp;Karakterlap!$F$3-14,""),IF(I156="e16fr",IF(Karakterlap!$F$3-16&gt;0,"+"&amp;Karakterlap!$F$3-16,""),""))</f>
        <v>#VALUE!</v>
      </c>
      <c r="H156" s="49" t="s">
        <v>300</v>
      </c>
      <c r="I156" s="57" t="s">
        <v>217</v>
      </c>
      <c r="J156" s="49">
        <v>0.7</v>
      </c>
      <c r="K156" t="s">
        <v>534</v>
      </c>
      <c r="L156" s="57" t="s">
        <v>220</v>
      </c>
      <c r="M156" s="57" t="s">
        <v>220</v>
      </c>
      <c r="O156" s="69" t="s">
        <v>535</v>
      </c>
      <c r="P156" s="57" t="s">
        <v>536</v>
      </c>
    </row>
    <row r="157" spans="1:16" x14ac:dyDescent="0.2">
      <c r="A157" s="1" t="s">
        <v>537</v>
      </c>
      <c r="B157" s="51" t="s">
        <v>529</v>
      </c>
      <c r="C157" s="49">
        <v>2</v>
      </c>
      <c r="D157" s="49">
        <v>10</v>
      </c>
      <c r="E157" s="49">
        <v>11</v>
      </c>
      <c r="F157" s="49">
        <v>15</v>
      </c>
      <c r="G157" s="49" t="e">
        <f>H157&amp;IF(I157="e14fr",IF(Karakterlap!$F$3-14&gt;0,"+"&amp;Karakterlap!$F$3-14,""),IF(I157="e16fr",IF(Karakterlap!$F$3-16&gt;0,"+"&amp;Karakterlap!$F$3-16,""),""))</f>
        <v>#VALUE!</v>
      </c>
      <c r="H157" s="49" t="s">
        <v>300</v>
      </c>
      <c r="I157" s="57" t="s">
        <v>217</v>
      </c>
      <c r="J157" s="49">
        <v>0.5</v>
      </c>
      <c r="K157" t="s">
        <v>534</v>
      </c>
      <c r="L157" s="57" t="s">
        <v>220</v>
      </c>
      <c r="M157" s="57" t="s">
        <v>237</v>
      </c>
      <c r="O157" s="69" t="s">
        <v>538</v>
      </c>
      <c r="P157" s="57" t="s">
        <v>532</v>
      </c>
    </row>
    <row r="158" spans="1:16" x14ac:dyDescent="0.2">
      <c r="A158" s="1" t="s">
        <v>539</v>
      </c>
      <c r="B158" s="51" t="s">
        <v>529</v>
      </c>
      <c r="C158" s="49">
        <v>1</v>
      </c>
      <c r="D158" s="49">
        <v>10</v>
      </c>
      <c r="E158" s="49">
        <v>18</v>
      </c>
      <c r="F158" s="49">
        <v>3</v>
      </c>
      <c r="G158" s="49" t="e">
        <f>H158&amp;IF(I158="e14fr",IF(Karakterlap!$F$3-14&gt;0,"+"&amp;Karakterlap!$F$3-14,""),IF(I158="e16fr",IF(Karakterlap!$F$3-16&gt;0,"+"&amp;Karakterlap!$F$3-16,""),""))</f>
        <v>#VALUE!</v>
      </c>
      <c r="H158" s="49" t="s">
        <v>224</v>
      </c>
      <c r="I158" s="57" t="s">
        <v>217</v>
      </c>
      <c r="J158" s="49">
        <v>1.2</v>
      </c>
      <c r="K158" s="49" t="s">
        <v>475</v>
      </c>
      <c r="L158" s="57" t="s">
        <v>218</v>
      </c>
      <c r="M158" s="57" t="s">
        <v>237</v>
      </c>
      <c r="O158" s="69" t="s">
        <v>237</v>
      </c>
      <c r="P158" s="57" t="s">
        <v>536</v>
      </c>
    </row>
    <row r="159" spans="1:16" x14ac:dyDescent="0.2">
      <c r="A159" s="1" t="s">
        <v>540</v>
      </c>
      <c r="B159" s="51" t="s">
        <v>529</v>
      </c>
      <c r="C159" s="49">
        <v>1</v>
      </c>
      <c r="D159" s="49">
        <v>0</v>
      </c>
      <c r="E159" s="49">
        <v>5</v>
      </c>
      <c r="F159" s="49">
        <v>-20</v>
      </c>
      <c r="G159" s="49" t="e">
        <f>H159&amp;IF(I159="e14fr",IF(Karakterlap!$F$3-14&gt;0,"+"&amp;Karakterlap!$F$3-14,""),IF(I159="e16fr",IF(Karakterlap!$F$3-16&gt;0,"+"&amp;Karakterlap!$F$3-16,""),""))</f>
        <v>#VALUE!</v>
      </c>
      <c r="H159" s="49" t="s">
        <v>263</v>
      </c>
      <c r="I159" s="57" t="s">
        <v>217</v>
      </c>
      <c r="J159" s="49">
        <v>0.1</v>
      </c>
      <c r="K159" s="49" t="s">
        <v>321</v>
      </c>
      <c r="L159" s="57" t="s">
        <v>220</v>
      </c>
      <c r="M159" s="57" t="s">
        <v>237</v>
      </c>
      <c r="O159" s="69" t="s">
        <v>237</v>
      </c>
      <c r="P159" s="57" t="s">
        <v>541</v>
      </c>
    </row>
    <row r="160" spans="1:16" x14ac:dyDescent="0.2">
      <c r="A160" s="1" t="s">
        <v>542</v>
      </c>
      <c r="B160" s="51" t="s">
        <v>529</v>
      </c>
      <c r="C160" s="49">
        <v>2</v>
      </c>
      <c r="D160" s="49">
        <v>8</v>
      </c>
      <c r="E160" s="49">
        <v>17</v>
      </c>
      <c r="F160" s="49">
        <v>5</v>
      </c>
      <c r="G160" s="49" t="e">
        <f>H160&amp;IF(I160="e14fr",IF(Karakterlap!$F$3-14&gt;0,"+"&amp;Karakterlap!$F$3-14,""),IF(I160="e16fr",IF(Karakterlap!$F$3-16&gt;0,"+"&amp;Karakterlap!$F$3-16,""),""))</f>
        <v>#VALUE!</v>
      </c>
      <c r="H160" s="49" t="s">
        <v>300</v>
      </c>
      <c r="I160" s="57" t="s">
        <v>217</v>
      </c>
      <c r="J160" s="49">
        <v>0.5</v>
      </c>
      <c r="K160" s="49" t="s">
        <v>255</v>
      </c>
      <c r="L160" s="57" t="s">
        <v>220</v>
      </c>
      <c r="M160" s="57" t="s">
        <v>220</v>
      </c>
      <c r="O160" s="69" t="s">
        <v>543</v>
      </c>
      <c r="P160" s="57" t="s">
        <v>536</v>
      </c>
    </row>
    <row r="161" spans="1:17" x14ac:dyDescent="0.2">
      <c r="A161" s="1" t="s">
        <v>544</v>
      </c>
      <c r="B161" s="51" t="s">
        <v>529</v>
      </c>
      <c r="C161" s="49">
        <v>1</v>
      </c>
      <c r="D161" s="49">
        <v>3</v>
      </c>
      <c r="E161" s="49">
        <v>19</v>
      </c>
      <c r="F161" s="49">
        <v>16</v>
      </c>
      <c r="G161" s="49" t="e">
        <f>H161&amp;IF(I161="e14fr",IF(Karakterlap!$F$3-14&gt;0,"+"&amp;Karakterlap!$F$3-14,""),IF(I161="e16fr",IF(Karakterlap!$F$3-16&gt;0,"+"&amp;Karakterlap!$F$3-16,""),""))</f>
        <v>#VALUE!</v>
      </c>
      <c r="H161" s="49" t="s">
        <v>271</v>
      </c>
      <c r="I161" s="57" t="s">
        <v>217</v>
      </c>
      <c r="J161" s="49">
        <v>1.4</v>
      </c>
      <c r="K161" s="49" t="s">
        <v>475</v>
      </c>
      <c r="L161" s="57" t="s">
        <v>220</v>
      </c>
      <c r="M161" s="57" t="s">
        <v>237</v>
      </c>
      <c r="O161" s="69" t="s">
        <v>545</v>
      </c>
      <c r="P161" s="57" t="s">
        <v>536</v>
      </c>
    </row>
    <row r="162" spans="1:17" x14ac:dyDescent="0.2">
      <c r="A162" s="1" t="s">
        <v>546</v>
      </c>
      <c r="B162" s="51" t="s">
        <v>529</v>
      </c>
      <c r="C162" s="49">
        <v>1</v>
      </c>
      <c r="D162" s="49">
        <v>9</v>
      </c>
      <c r="E162" s="49">
        <v>19</v>
      </c>
      <c r="F162" s="49">
        <v>13</v>
      </c>
      <c r="G162" s="49" t="e">
        <f>H162&amp;IF(I162="e14fr",IF(Karakterlap!$F$3-14&gt;0,"+"&amp;Karakterlap!$F$3-14,""),IF(I162="e16fr",IF(Karakterlap!$F$3-16&gt;0,"+"&amp;Karakterlap!$F$3-16,""),""))</f>
        <v>#VALUE!</v>
      </c>
      <c r="H162" s="49" t="s">
        <v>224</v>
      </c>
      <c r="I162" s="57" t="s">
        <v>217</v>
      </c>
      <c r="J162" s="49">
        <v>0.4</v>
      </c>
      <c r="K162" s="49" t="s">
        <v>479</v>
      </c>
      <c r="L162" s="57" t="s">
        <v>218</v>
      </c>
      <c r="M162" s="57" t="s">
        <v>237</v>
      </c>
      <c r="O162" s="69" t="s">
        <v>547</v>
      </c>
      <c r="P162" s="57" t="s">
        <v>536</v>
      </c>
    </row>
    <row r="163" spans="1:17" x14ac:dyDescent="0.2">
      <c r="A163" s="1" t="s">
        <v>548</v>
      </c>
      <c r="B163" s="51" t="s">
        <v>529</v>
      </c>
      <c r="C163" s="49">
        <v>2</v>
      </c>
      <c r="D163" s="49">
        <v>10</v>
      </c>
      <c r="E163" s="49">
        <v>20</v>
      </c>
      <c r="F163" s="49">
        <v>20</v>
      </c>
      <c r="G163" s="49" t="e">
        <f>H163&amp;IF(I163="e14fr",IF(Karakterlap!$F$3-14&gt;0,"+"&amp;Karakterlap!$F$3-14,""),IF(I163="e16fr",IF(Karakterlap!$F$3-16&gt;0,"+"&amp;Karakterlap!$F$3-16,""),""))</f>
        <v>#VALUE!</v>
      </c>
      <c r="H163" s="49" t="s">
        <v>549</v>
      </c>
      <c r="I163" s="57" t="s">
        <v>217</v>
      </c>
      <c r="J163" s="49" t="s">
        <v>237</v>
      </c>
      <c r="K163" s="49" t="s">
        <v>237</v>
      </c>
      <c r="L163" s="57" t="s">
        <v>237</v>
      </c>
      <c r="M163" s="57" t="s">
        <v>237</v>
      </c>
      <c r="O163" s="69" t="s">
        <v>237</v>
      </c>
      <c r="P163" s="57" t="s">
        <v>269</v>
      </c>
    </row>
    <row r="164" spans="1:17" x14ac:dyDescent="0.2">
      <c r="A164" s="1" t="s">
        <v>550</v>
      </c>
      <c r="B164" s="51" t="s">
        <v>529</v>
      </c>
      <c r="C164" s="49">
        <v>2</v>
      </c>
      <c r="D164" s="49">
        <v>4</v>
      </c>
      <c r="E164" s="49">
        <v>6</v>
      </c>
      <c r="F164" s="49">
        <v>0</v>
      </c>
      <c r="G164" s="49" t="e">
        <f>H164&amp;IF(I164="e14fr",IF(Karakterlap!$F$3-14&gt;0,"+"&amp;Karakterlap!$F$3-14,""),IF(I164="e16fr",IF(Karakterlap!$F$3-16&gt;0,"+"&amp;Karakterlap!$F$3-16,""),""))</f>
        <v>#VALUE!</v>
      </c>
      <c r="H164" s="49" t="s">
        <v>216</v>
      </c>
      <c r="I164" s="57" t="s">
        <v>217</v>
      </c>
      <c r="J164" s="49">
        <v>0.5</v>
      </c>
      <c r="K164" s="49" t="s">
        <v>551</v>
      </c>
      <c r="L164" s="57" t="s">
        <v>218</v>
      </c>
      <c r="M164" s="57" t="s">
        <v>237</v>
      </c>
      <c r="O164" s="69" t="s">
        <v>237</v>
      </c>
      <c r="P164" s="57" t="s">
        <v>552</v>
      </c>
    </row>
    <row r="165" spans="1:17" x14ac:dyDescent="0.2">
      <c r="A165" s="1" t="s">
        <v>553</v>
      </c>
      <c r="B165" s="51" t="s">
        <v>529</v>
      </c>
      <c r="C165" s="49">
        <v>2</v>
      </c>
      <c r="D165" s="49">
        <v>10</v>
      </c>
      <c r="E165" s="49">
        <v>8</v>
      </c>
      <c r="F165" s="49">
        <v>4</v>
      </c>
      <c r="G165" s="49" t="e">
        <f>H165&amp;IF(I165="e14fr",IF(Karakterlap!$F$3-14&gt;0,"+"&amp;Karakterlap!$F$3-14,""),IF(I165="e16fr",IF(Karakterlap!$F$3-16&gt;0,"+"&amp;Karakterlap!$F$3-16,""),""))</f>
        <v>#VALUE!</v>
      </c>
      <c r="H165" s="49" t="s">
        <v>231</v>
      </c>
      <c r="I165" s="57" t="s">
        <v>217</v>
      </c>
      <c r="J165" s="49">
        <v>0.3</v>
      </c>
      <c r="K165" t="s">
        <v>534</v>
      </c>
      <c r="L165" s="57" t="s">
        <v>218</v>
      </c>
      <c r="M165" s="57" t="s">
        <v>220</v>
      </c>
      <c r="O165" s="69" t="s">
        <v>554</v>
      </c>
      <c r="P165" s="57" t="s">
        <v>532</v>
      </c>
    </row>
    <row r="166" spans="1:17" x14ac:dyDescent="0.2">
      <c r="A166" s="1" t="s">
        <v>555</v>
      </c>
      <c r="B166" s="51" t="s">
        <v>529</v>
      </c>
      <c r="C166" s="49">
        <v>2</v>
      </c>
      <c r="D166" s="49">
        <v>8</v>
      </c>
      <c r="E166" s="49">
        <v>12</v>
      </c>
      <c r="F166" s="49">
        <v>19</v>
      </c>
      <c r="G166" s="49" t="e">
        <f>H166&amp;IF(I166="e14fr",IF(Karakterlap!$F$3-14&gt;0,"+"&amp;Karakterlap!$F$3-14,""),IF(I166="e16fr",IF(Karakterlap!$F$3-16&gt;0,"+"&amp;Karakterlap!$F$3-16,""),""))</f>
        <v>#VALUE!</v>
      </c>
      <c r="H166" s="49" t="s">
        <v>300</v>
      </c>
      <c r="I166" s="57" t="s">
        <v>217</v>
      </c>
      <c r="J166" s="49">
        <v>0.3</v>
      </c>
      <c r="K166" s="49" t="s">
        <v>475</v>
      </c>
      <c r="L166" s="57" t="s">
        <v>218</v>
      </c>
      <c r="M166" s="57" t="s">
        <v>237</v>
      </c>
      <c r="O166" s="69" t="s">
        <v>556</v>
      </c>
      <c r="P166" s="57" t="s">
        <v>532</v>
      </c>
    </row>
    <row r="167" spans="1:17" x14ac:dyDescent="0.2">
      <c r="A167" s="1" t="s">
        <v>557</v>
      </c>
      <c r="B167" s="51" t="s">
        <v>529</v>
      </c>
      <c r="C167" s="49">
        <v>2</v>
      </c>
      <c r="D167" s="49">
        <v>9</v>
      </c>
      <c r="E167" s="49">
        <v>6</v>
      </c>
      <c r="F167" s="49">
        <v>4</v>
      </c>
      <c r="G167" s="49" t="e">
        <f>H167&amp;IF(I167="e14fr",IF(Karakterlap!$F$3-14&gt;0,"+"&amp;Karakterlap!$F$3-14,""),IF(I167="e16fr",IF(Karakterlap!$F$3-16&gt;0,"+"&amp;Karakterlap!$F$3-16,""),""))</f>
        <v>#VALUE!</v>
      </c>
      <c r="H167" s="49" t="s">
        <v>216</v>
      </c>
      <c r="I167" s="57" t="s">
        <v>217</v>
      </c>
      <c r="J167" s="49">
        <v>0.2</v>
      </c>
      <c r="K167" s="49" t="s">
        <v>475</v>
      </c>
      <c r="L167" s="57" t="s">
        <v>218</v>
      </c>
      <c r="M167" s="57" t="s">
        <v>237</v>
      </c>
      <c r="O167" s="69" t="s">
        <v>558</v>
      </c>
      <c r="P167" s="57" t="s">
        <v>532</v>
      </c>
    </row>
    <row r="168" spans="1:17" x14ac:dyDescent="0.2">
      <c r="A168" s="1" t="s">
        <v>559</v>
      </c>
      <c r="B168" s="51" t="s">
        <v>529</v>
      </c>
      <c r="C168" s="49">
        <v>2</v>
      </c>
      <c r="D168" s="49">
        <v>3</v>
      </c>
      <c r="E168" s="49">
        <v>6</v>
      </c>
      <c r="F168" s="49">
        <v>0</v>
      </c>
      <c r="G168" s="49" t="e">
        <f>H168&amp;IF(I168="e14fr",IF(Karakterlap!$F$3-14&gt;0,"+"&amp;Karakterlap!$F$3-14,""),IF(I168="e16fr",IF(Karakterlap!$F$3-16&gt;0,"+"&amp;Karakterlap!$F$3-16,""),""))</f>
        <v>#VALUE!</v>
      </c>
      <c r="H168" s="49" t="s">
        <v>560</v>
      </c>
      <c r="I168" s="57" t="s">
        <v>217</v>
      </c>
      <c r="J168" s="49">
        <v>0.6</v>
      </c>
      <c r="K168" s="49" t="s">
        <v>321</v>
      </c>
      <c r="L168" s="57" t="s">
        <v>218</v>
      </c>
      <c r="M168" s="57" t="s">
        <v>237</v>
      </c>
      <c r="O168" s="69" t="s">
        <v>237</v>
      </c>
      <c r="P168" s="57" t="s">
        <v>408</v>
      </c>
    </row>
    <row r="169" spans="1:17" x14ac:dyDescent="0.2">
      <c r="A169" s="1" t="s">
        <v>561</v>
      </c>
      <c r="B169" s="51" t="s">
        <v>529</v>
      </c>
      <c r="C169" s="49">
        <v>2</v>
      </c>
      <c r="D169" s="49">
        <v>10</v>
      </c>
      <c r="E169" s="49">
        <v>4</v>
      </c>
      <c r="F169" s="49">
        <v>1</v>
      </c>
      <c r="G169" s="49" t="e">
        <f>H169&amp;IF(I169="e14fr",IF(Karakterlap!$F$3-14&gt;0,"+"&amp;Karakterlap!$F$3-14,""),IF(I169="e16fr",IF(Karakterlap!$F$3-16&gt;0,"+"&amp;Karakterlap!$F$3-16,""),""))</f>
        <v>#VALUE!</v>
      </c>
      <c r="H169" s="49" t="str">
        <f>IF(IFERROR(VLOOKUP(A169,Karakterlap!A20:F29,1,FALSE),"nem")="Ököl",IF(LOOKUP("Ököl",Karakterlap!A20:A29,Karakterlap!I20:I29)=TRUE,"K6","K2"),"K2")</f>
        <v>K2</v>
      </c>
      <c r="I169" s="57" t="s">
        <v>247</v>
      </c>
      <c r="J169" s="49" t="s">
        <v>237</v>
      </c>
      <c r="K169" s="49" t="s">
        <v>237</v>
      </c>
      <c r="L169" s="57" t="s">
        <v>237</v>
      </c>
      <c r="M169" s="57" t="s">
        <v>237</v>
      </c>
      <c r="O169" s="69" t="s">
        <v>237</v>
      </c>
      <c r="P169" s="57" t="s">
        <v>552</v>
      </c>
      <c r="Q169" s="87"/>
    </row>
    <row r="170" spans="1:17" x14ac:dyDescent="0.2">
      <c r="A170" s="1" t="s">
        <v>562</v>
      </c>
      <c r="B170" s="51" t="s">
        <v>529</v>
      </c>
      <c r="C170" s="49">
        <v>1</v>
      </c>
      <c r="D170" s="49">
        <v>8</v>
      </c>
      <c r="E170" s="49">
        <v>16</v>
      </c>
      <c r="F170" s="49">
        <v>18</v>
      </c>
      <c r="G170" s="49" t="e">
        <f>H170&amp;IF(I170="e14fr",IF(Karakterlap!$F$3-14&gt;0,"+"&amp;Karakterlap!$F$3-14,""),IF(I170="e16fr",IF(Karakterlap!$F$3-16&gt;0,"+"&amp;Karakterlap!$F$3-16,""),""))</f>
        <v>#VALUE!</v>
      </c>
      <c r="H170" s="49" t="s">
        <v>224</v>
      </c>
      <c r="I170" s="57" t="s">
        <v>217</v>
      </c>
      <c r="J170" s="49">
        <v>0.9</v>
      </c>
      <c r="K170" t="s">
        <v>534</v>
      </c>
      <c r="L170" s="57" t="s">
        <v>218</v>
      </c>
      <c r="M170" s="57" t="s">
        <v>275</v>
      </c>
      <c r="O170" s="69" t="s">
        <v>563</v>
      </c>
      <c r="P170" s="57" t="s">
        <v>536</v>
      </c>
    </row>
    <row r="171" spans="1:17" x14ac:dyDescent="0.2">
      <c r="A171" s="1" t="s">
        <v>564</v>
      </c>
      <c r="B171" s="51" t="s">
        <v>529</v>
      </c>
      <c r="C171" s="49">
        <v>2</v>
      </c>
      <c r="D171" s="49">
        <v>9</v>
      </c>
      <c r="E171" s="49">
        <v>16</v>
      </c>
      <c r="F171" s="49">
        <v>4</v>
      </c>
      <c r="G171" s="49" t="e">
        <f>H171&amp;IF(I171="e14fr",IF(Karakterlap!$F$3-14&gt;0,"+"&amp;Karakterlap!$F$3-14,""),IF(I171="e16fr",IF(Karakterlap!$F$3-16&gt;0,"+"&amp;Karakterlap!$F$3-16,""),""))</f>
        <v>#VALUE!</v>
      </c>
      <c r="H171" s="49" t="s">
        <v>300</v>
      </c>
      <c r="I171" s="57" t="s">
        <v>217</v>
      </c>
      <c r="J171" s="49">
        <v>0.6</v>
      </c>
      <c r="K171" t="s">
        <v>534</v>
      </c>
      <c r="L171" s="57" t="s">
        <v>220</v>
      </c>
      <c r="M171" s="57" t="s">
        <v>220</v>
      </c>
      <c r="O171" s="69" t="s">
        <v>535</v>
      </c>
      <c r="P171" s="57" t="s">
        <v>536</v>
      </c>
    </row>
    <row r="172" spans="1:17" x14ac:dyDescent="0.2">
      <c r="A172" s="1" t="s">
        <v>565</v>
      </c>
      <c r="B172" s="51" t="s">
        <v>529</v>
      </c>
      <c r="C172" s="49">
        <v>2</v>
      </c>
      <c r="D172" s="49">
        <v>9</v>
      </c>
      <c r="E172" s="49">
        <v>10</v>
      </c>
      <c r="F172" s="49">
        <v>18</v>
      </c>
      <c r="G172" s="49" t="e">
        <f>H172&amp;IF(I172="e14fr",IF(Karakterlap!$F$3-14&gt;0,"+"&amp;Karakterlap!$F$3-14,""),IF(I172="e16fr",IF(Karakterlap!$F$3-16&gt;0,"+"&amp;Karakterlap!$F$3-16,""),""))</f>
        <v>#VALUE!</v>
      </c>
      <c r="H172" s="49" t="s">
        <v>231</v>
      </c>
      <c r="I172" s="57" t="s">
        <v>217</v>
      </c>
      <c r="J172" s="49">
        <v>0.3</v>
      </c>
      <c r="K172" s="49" t="s">
        <v>255</v>
      </c>
      <c r="L172" s="57" t="s">
        <v>218</v>
      </c>
      <c r="M172" s="57" t="s">
        <v>237</v>
      </c>
      <c r="O172" s="69" t="s">
        <v>566</v>
      </c>
      <c r="P172" s="57" t="s">
        <v>532</v>
      </c>
    </row>
    <row r="173" spans="1:17" x14ac:dyDescent="0.2">
      <c r="A173" s="1" t="s">
        <v>567</v>
      </c>
      <c r="B173" s="51" t="s">
        <v>529</v>
      </c>
      <c r="C173" s="49">
        <v>2</v>
      </c>
      <c r="D173" s="49">
        <v>9</v>
      </c>
      <c r="E173" s="49">
        <v>9</v>
      </c>
      <c r="F173" s="49">
        <v>6</v>
      </c>
      <c r="G173" s="49" t="e">
        <f>H173&amp;IF(I173="e14fr",IF(Karakterlap!$F$3-14&gt;0,"+"&amp;Karakterlap!$F$3-14,""),IF(I173="e16fr",IF(Karakterlap!$F$3-16&gt;0,"+"&amp;Karakterlap!$F$3-16,""),""))</f>
        <v>#VALUE!</v>
      </c>
      <c r="H173" s="49" t="s">
        <v>291</v>
      </c>
      <c r="I173" s="57" t="s">
        <v>217</v>
      </c>
      <c r="J173" s="49">
        <v>0.7</v>
      </c>
      <c r="K173" s="49" t="s">
        <v>255</v>
      </c>
      <c r="L173" s="57" t="s">
        <v>218</v>
      </c>
      <c r="M173" s="57" t="s">
        <v>220</v>
      </c>
      <c r="O173" s="69" t="s">
        <v>568</v>
      </c>
      <c r="P173" s="57" t="s">
        <v>536</v>
      </c>
    </row>
    <row r="174" spans="1:17" x14ac:dyDescent="0.2">
      <c r="A174" s="1" t="s">
        <v>569</v>
      </c>
      <c r="B174" s="51" t="s">
        <v>529</v>
      </c>
      <c r="C174" s="49">
        <v>2</v>
      </c>
      <c r="D174" s="49">
        <v>10</v>
      </c>
      <c r="E174" s="49">
        <v>4</v>
      </c>
      <c r="F174" s="49">
        <v>1</v>
      </c>
      <c r="G174" s="49" t="e">
        <f>H174&amp;IF(I174="e14fr",IF(Karakterlap!$F$3-14&gt;0,"+"&amp;Karakterlap!$F$3-14,""),IF(I174="e16fr",IF(Karakterlap!$F$3-16&gt;0,"+"&amp;Karakterlap!$F$3-16,""),""))</f>
        <v>#VALUE!</v>
      </c>
      <c r="H174" s="49" t="s">
        <v>570</v>
      </c>
      <c r="I174" s="57" t="s">
        <v>217</v>
      </c>
      <c r="J174" s="49">
        <v>0.02</v>
      </c>
      <c r="K174" s="49" t="s">
        <v>288</v>
      </c>
      <c r="L174" s="57" t="s">
        <v>218</v>
      </c>
      <c r="M174" s="57" t="s">
        <v>218</v>
      </c>
      <c r="O174" s="69" t="s">
        <v>237</v>
      </c>
      <c r="P174" s="57" t="s">
        <v>552</v>
      </c>
    </row>
    <row r="175" spans="1:17" x14ac:dyDescent="0.2">
      <c r="A175" s="1" t="s">
        <v>571</v>
      </c>
      <c r="B175" s="51" t="s">
        <v>529</v>
      </c>
      <c r="C175" s="49">
        <v>2</v>
      </c>
      <c r="D175" s="49">
        <v>9</v>
      </c>
      <c r="E175" s="49">
        <v>5</v>
      </c>
      <c r="F175" s="49">
        <v>2</v>
      </c>
      <c r="G175" s="49" t="e">
        <f>H175&amp;IF(I175="e14fr",IF(Karakterlap!$F$3-14&gt;0,"+"&amp;Karakterlap!$F$3-14,""),IF(I175="e16fr",IF(Karakterlap!$F$3-16&gt;0,"+"&amp;Karakterlap!$F$3-16,""),""))</f>
        <v>#VALUE!</v>
      </c>
      <c r="H175" s="49" t="s">
        <v>216</v>
      </c>
      <c r="I175" s="57" t="s">
        <v>217</v>
      </c>
      <c r="J175" s="49">
        <v>0.2</v>
      </c>
      <c r="K175" s="49" t="s">
        <v>321</v>
      </c>
      <c r="L175" s="57" t="s">
        <v>218</v>
      </c>
      <c r="M175" s="57" t="s">
        <v>237</v>
      </c>
      <c r="O175" s="69" t="s">
        <v>237</v>
      </c>
      <c r="P175" s="57" t="s">
        <v>552</v>
      </c>
    </row>
    <row r="176" spans="1:17" x14ac:dyDescent="0.2">
      <c r="A176" s="1"/>
      <c r="B176" s="86"/>
      <c r="C176" s="85"/>
      <c r="D176" s="85"/>
      <c r="E176" s="85"/>
      <c r="F176" s="85"/>
      <c r="G176" s="85"/>
      <c r="H176" s="85"/>
      <c r="I176" s="57"/>
      <c r="J176" s="85"/>
      <c r="K176" s="85"/>
      <c r="L176" s="57"/>
      <c r="M176" s="57"/>
      <c r="O176" s="69"/>
      <c r="P176" s="57"/>
    </row>
    <row r="177" spans="1:16" x14ac:dyDescent="0.2">
      <c r="A177" s="33" t="s">
        <v>972</v>
      </c>
      <c r="B177" s="86"/>
      <c r="C177" s="85"/>
      <c r="D177" s="85"/>
      <c r="E177" s="85"/>
      <c r="F177" s="85"/>
      <c r="G177" s="85"/>
      <c r="H177" s="85"/>
      <c r="I177" s="57"/>
      <c r="J177" s="85"/>
      <c r="K177" s="85"/>
      <c r="L177" s="57"/>
      <c r="M177" s="57"/>
      <c r="O177" s="69"/>
      <c r="P177" s="57"/>
    </row>
    <row r="178" spans="1:16" x14ac:dyDescent="0.2">
      <c r="A178" s="1"/>
      <c r="B178" s="86"/>
      <c r="C178" s="85"/>
      <c r="D178" s="85"/>
      <c r="E178" s="85"/>
      <c r="F178" s="85"/>
      <c r="G178" s="85"/>
      <c r="H178" s="85"/>
      <c r="I178" s="57"/>
      <c r="J178" s="85"/>
      <c r="K178" s="85"/>
      <c r="L178" s="57"/>
      <c r="M178" s="57"/>
      <c r="O178" s="69"/>
      <c r="P178" s="57"/>
    </row>
    <row r="179" spans="1:16" x14ac:dyDescent="0.2">
      <c r="A179" s="1" t="s">
        <v>572</v>
      </c>
      <c r="B179" s="51" t="s">
        <v>573</v>
      </c>
      <c r="C179" s="49">
        <v>2</v>
      </c>
      <c r="D179" s="49">
        <v>5</v>
      </c>
      <c r="E179" s="49">
        <v>18</v>
      </c>
      <c r="F179" s="49">
        <v>35</v>
      </c>
      <c r="G179" s="49" t="str">
        <f>H179&amp;IF(I179="e14fr",IF(Karakterlap!$F$3-14&gt;0,"+"&amp;Karakterlap!$F$3-14,""),IF(I179="e16fr",IF(Karakterlap!$F$3-16&gt;0,"+"&amp;Karakterlap!$F$3-16,""),""))</f>
        <v>K5</v>
      </c>
      <c r="H179" s="49" t="s">
        <v>300</v>
      </c>
      <c r="I179" s="49">
        <v>0</v>
      </c>
      <c r="J179" s="49">
        <v>2</v>
      </c>
      <c r="K179" s="57" t="s">
        <v>574</v>
      </c>
      <c r="L179" s="57" t="s">
        <v>220</v>
      </c>
      <c r="M179" s="57" t="s">
        <v>218</v>
      </c>
      <c r="O179" s="69" t="s">
        <v>237</v>
      </c>
      <c r="P179" s="57" t="s">
        <v>575</v>
      </c>
    </row>
    <row r="180" spans="1:16" x14ac:dyDescent="0.2">
      <c r="A180" s="1" t="s">
        <v>576</v>
      </c>
      <c r="B180" s="51" t="s">
        <v>573</v>
      </c>
      <c r="C180" s="61">
        <v>0.5</v>
      </c>
      <c r="D180" s="49">
        <v>4</v>
      </c>
      <c r="E180" s="49">
        <v>10</v>
      </c>
      <c r="F180" s="49">
        <v>30</v>
      </c>
      <c r="G180" s="49" t="e">
        <f>H180&amp;IF(I180="e14fr",IF(Karakterlap!$F$3-14&gt;0,"+"&amp;Karakterlap!$F$3-14,""),IF(I180="e16fr",IF(Karakterlap!$F$3-16&gt;0,"+"&amp;Karakterlap!$F$3-16,""),""))</f>
        <v>#VALUE!</v>
      </c>
      <c r="H180" s="49" t="s">
        <v>300</v>
      </c>
      <c r="I180" s="49" t="s">
        <v>217</v>
      </c>
      <c r="J180" s="49">
        <v>2</v>
      </c>
      <c r="K180" s="57" t="s">
        <v>450</v>
      </c>
      <c r="L180" s="57" t="s">
        <v>220</v>
      </c>
      <c r="M180" s="57" t="s">
        <v>237</v>
      </c>
      <c r="O180" s="69" t="s">
        <v>577</v>
      </c>
      <c r="P180" s="57" t="s">
        <v>575</v>
      </c>
    </row>
    <row r="181" spans="1:16" x14ac:dyDescent="0.2">
      <c r="A181" s="1" t="s">
        <v>578</v>
      </c>
      <c r="B181" s="51" t="s">
        <v>573</v>
      </c>
      <c r="C181" s="49">
        <v>2</v>
      </c>
      <c r="D181" s="79">
        <f>IF(Karakterlap!V7="elf",9,3)</f>
        <v>3</v>
      </c>
      <c r="E181" s="49">
        <f>IF(Karakterlap!V7="elf",13,4)</f>
        <v>4</v>
      </c>
      <c r="F181" s="49">
        <f>IF(Karakterlap!V7="elf",140,100)</f>
        <v>100</v>
      </c>
      <c r="G181" s="49" t="str">
        <f>H181&amp;IF(I181="e14fr",IF(Karakterlap!$F$3-14&gt;0,"+"&amp;Karakterlap!$F$3-14,""),IF(I181="e16fr",IF(Karakterlap!$F$3-16&gt;0,"+"&amp;Karakterlap!$F$3-16,""),""))</f>
        <v>k6+2</v>
      </c>
      <c r="H181" s="49" t="str">
        <f>IF(Karakterlap!V7="elf","2k6+2","k6+2")</f>
        <v>k6+2</v>
      </c>
      <c r="I181" s="49">
        <v>0</v>
      </c>
      <c r="J181" s="49">
        <v>0.7</v>
      </c>
      <c r="K181" s="57" t="s">
        <v>319</v>
      </c>
      <c r="L181" s="57" t="s">
        <v>220</v>
      </c>
      <c r="M181" s="57" t="s">
        <v>218</v>
      </c>
      <c r="O181" s="69" t="s">
        <v>237</v>
      </c>
      <c r="P181" s="57" t="s">
        <v>579</v>
      </c>
    </row>
    <row r="182" spans="1:16" x14ac:dyDescent="0.2">
      <c r="A182" s="1" t="s">
        <v>580</v>
      </c>
      <c r="B182" s="51" t="s">
        <v>573</v>
      </c>
      <c r="C182" s="49">
        <v>2</v>
      </c>
      <c r="D182" s="49">
        <v>4</v>
      </c>
      <c r="E182" s="49">
        <v>5</v>
      </c>
      <c r="F182" s="49">
        <v>110</v>
      </c>
      <c r="G182" s="49" t="e">
        <f>H182&amp;IF(I182="e14fr",IF(Karakterlap!$F$3-14&gt;0,"+"&amp;Karakterlap!$F$3-14,""),IF(I182="e16fr",IF(Karakterlap!$F$3-16&gt;0,"+"&amp;Karakterlap!$F$3-16,""),""))</f>
        <v>#VALUE!</v>
      </c>
      <c r="H182" s="49" t="s">
        <v>254</v>
      </c>
      <c r="I182" s="49" t="s">
        <v>217</v>
      </c>
      <c r="J182" s="49">
        <v>0.7</v>
      </c>
      <c r="K182" s="49" t="s">
        <v>240</v>
      </c>
      <c r="L182" s="57" t="s">
        <v>220</v>
      </c>
      <c r="M182" s="57" t="s">
        <v>218</v>
      </c>
      <c r="O182" s="69" t="s">
        <v>581</v>
      </c>
      <c r="P182" s="57" t="s">
        <v>483</v>
      </c>
    </row>
    <row r="183" spans="1:16" x14ac:dyDescent="0.2">
      <c r="A183" s="1" t="s">
        <v>582</v>
      </c>
      <c r="B183" s="51" t="s">
        <v>573</v>
      </c>
      <c r="C183" s="49">
        <v>3</v>
      </c>
      <c r="D183" s="49">
        <v>8</v>
      </c>
      <c r="E183" s="49">
        <v>7</v>
      </c>
      <c r="F183" s="49">
        <v>30</v>
      </c>
      <c r="G183" s="49" t="e">
        <f>H183&amp;IF(I183="e14fr",IF(Karakterlap!$F$3-14&gt;0,"+"&amp;Karakterlap!$F$3-14,""),IF(I183="e16fr",IF(Karakterlap!$F$3-16&gt;0,"+"&amp;Karakterlap!$F$3-16,""),""))</f>
        <v>#VALUE!</v>
      </c>
      <c r="H183" s="49" t="s">
        <v>583</v>
      </c>
      <c r="I183" s="49" t="s">
        <v>217</v>
      </c>
      <c r="J183" s="49">
        <v>0.2</v>
      </c>
      <c r="K183" s="49" t="s">
        <v>255</v>
      </c>
      <c r="L183" s="57" t="s">
        <v>220</v>
      </c>
      <c r="M183" s="57" t="s">
        <v>218</v>
      </c>
      <c r="O183" s="69" t="s">
        <v>584</v>
      </c>
      <c r="P183" s="57" t="s">
        <v>532</v>
      </c>
    </row>
    <row r="184" spans="1:16" x14ac:dyDescent="0.2">
      <c r="A184" s="1" t="s">
        <v>585</v>
      </c>
      <c r="B184" s="51" t="s">
        <v>573</v>
      </c>
      <c r="C184" s="49">
        <v>3</v>
      </c>
      <c r="D184" s="49">
        <v>8</v>
      </c>
      <c r="E184" s="49">
        <v>9</v>
      </c>
      <c r="F184" s="49">
        <v>30</v>
      </c>
      <c r="G184" s="49" t="str">
        <f>H184&amp;IF(I184="e14fr",IF(Karakterlap!$F$3-14&gt;0,"+"&amp;Karakterlap!$F$3-14,""),IF(I184="e16fr",IF(Karakterlap!$F$3-16&gt;0,"+"&amp;Karakterlap!$F$3-16,""),""))</f>
        <v>tű</v>
      </c>
      <c r="H184" s="49" t="s">
        <v>570</v>
      </c>
      <c r="I184" s="49">
        <v>0</v>
      </c>
      <c r="J184" s="49" t="s">
        <v>586</v>
      </c>
      <c r="K184" s="57" t="s">
        <v>232</v>
      </c>
      <c r="L184" s="57" t="s">
        <v>220</v>
      </c>
      <c r="M184" s="57" t="s">
        <v>218</v>
      </c>
      <c r="O184" s="69" t="s">
        <v>237</v>
      </c>
      <c r="P184" s="57" t="s">
        <v>579</v>
      </c>
    </row>
    <row r="185" spans="1:16" x14ac:dyDescent="0.2">
      <c r="A185" s="1" t="s">
        <v>587</v>
      </c>
      <c r="B185" s="51" t="s">
        <v>573</v>
      </c>
      <c r="C185" s="49">
        <v>2</v>
      </c>
      <c r="D185" s="49">
        <v>5</v>
      </c>
      <c r="E185" s="49">
        <v>6</v>
      </c>
      <c r="F185" s="49">
        <v>60</v>
      </c>
      <c r="G185" s="49" t="e">
        <f>H185&amp;IF(I185="e14fr",IF(Karakterlap!$F$3-14&gt;0,"+"&amp;Karakterlap!$F$3-14,""),IF(I185="e16fr",IF(Karakterlap!$F$3-16&gt;0,"+"&amp;Karakterlap!$F$3-16,""),""))</f>
        <v>#VALUE!</v>
      </c>
      <c r="H185" s="49" t="s">
        <v>300</v>
      </c>
      <c r="I185" s="49" t="s">
        <v>217</v>
      </c>
      <c r="J185" s="49">
        <v>0.5</v>
      </c>
      <c r="K185" s="57" t="s">
        <v>368</v>
      </c>
      <c r="L185" s="57" t="s">
        <v>220</v>
      </c>
      <c r="M185" s="57" t="s">
        <v>218</v>
      </c>
      <c r="O185" s="69" t="s">
        <v>237</v>
      </c>
      <c r="P185" s="57" t="s">
        <v>579</v>
      </c>
    </row>
    <row r="186" spans="1:16" x14ac:dyDescent="0.2">
      <c r="A186" s="1" t="s">
        <v>588</v>
      </c>
      <c r="B186" s="51" t="s">
        <v>573</v>
      </c>
      <c r="C186" s="49">
        <v>2</v>
      </c>
      <c r="D186" s="49">
        <v>4</v>
      </c>
      <c r="E186" s="49">
        <v>11</v>
      </c>
      <c r="F186" s="49">
        <v>110</v>
      </c>
      <c r="G186" s="49" t="e">
        <f>H186&amp;IF(I186="e14fr",IF(Karakterlap!$F$3-14&gt;0,"+"&amp;Karakterlap!$F$3-14,""),IF(I186="e16fr",IF(Karakterlap!$F$3-16&gt;0,"+"&amp;Karakterlap!$F$3-16,""),""))</f>
        <v>#VALUE!</v>
      </c>
      <c r="H186" s="49" t="s">
        <v>254</v>
      </c>
      <c r="I186" s="49" t="s">
        <v>217</v>
      </c>
      <c r="J186" s="49">
        <v>0.7</v>
      </c>
      <c r="K186" s="57" t="s">
        <v>285</v>
      </c>
      <c r="L186" s="57" t="s">
        <v>220</v>
      </c>
      <c r="M186" s="57" t="s">
        <v>218</v>
      </c>
      <c r="O186" s="69" t="s">
        <v>237</v>
      </c>
      <c r="P186" s="57" t="s">
        <v>579</v>
      </c>
    </row>
    <row r="187" spans="1:16" x14ac:dyDescent="0.2">
      <c r="A187" s="1" t="s">
        <v>589</v>
      </c>
      <c r="B187" s="51" t="s">
        <v>573</v>
      </c>
      <c r="C187" s="49">
        <v>2</v>
      </c>
      <c r="D187" s="49">
        <v>3</v>
      </c>
      <c r="E187" s="49">
        <v>14</v>
      </c>
      <c r="F187" s="49">
        <v>30</v>
      </c>
      <c r="G187" s="49" t="str">
        <f>H187&amp;IF(I187="e14fr",IF(Karakterlap!$F$3-14&gt;0,"+"&amp;Karakterlap!$F$3-14,""),IF(I187="e16fr",IF(Karakterlap!$F$3-16&gt;0,"+"&amp;Karakterlap!$F$3-16,""),""))</f>
        <v>K3</v>
      </c>
      <c r="H187" s="49" t="s">
        <v>216</v>
      </c>
      <c r="I187" s="49">
        <v>0</v>
      </c>
      <c r="J187" s="49">
        <v>2</v>
      </c>
      <c r="K187" s="57" t="s">
        <v>590</v>
      </c>
      <c r="L187" s="57" t="s">
        <v>220</v>
      </c>
      <c r="M187" s="57" t="s">
        <v>218</v>
      </c>
      <c r="O187" s="69" t="s">
        <v>237</v>
      </c>
      <c r="P187" s="57" t="s">
        <v>579</v>
      </c>
    </row>
    <row r="188" spans="1:16" x14ac:dyDescent="0.2">
      <c r="A188" s="1" t="s">
        <v>591</v>
      </c>
      <c r="B188" s="51" t="s">
        <v>573</v>
      </c>
      <c r="C188" s="49">
        <v>3</v>
      </c>
      <c r="D188" s="49">
        <v>9</v>
      </c>
      <c r="E188" s="49">
        <v>13</v>
      </c>
      <c r="F188" s="49">
        <v>30</v>
      </c>
      <c r="G188" s="49" t="str">
        <f>H188&amp;IF(I188="e14fr",IF(Karakterlap!$F$3-14&gt;0,"+"&amp;Karakterlap!$F$3-14,""),IF(I188="e16fr",IF(Karakterlap!$F$3-16&gt;0,"+"&amp;Karakterlap!$F$3-16,""),""))</f>
        <v>K3</v>
      </c>
      <c r="H188" s="49" t="s">
        <v>216</v>
      </c>
      <c r="I188" s="49">
        <v>0</v>
      </c>
      <c r="J188" s="49">
        <v>3</v>
      </c>
      <c r="K188" s="57" t="s">
        <v>592</v>
      </c>
      <c r="L188" s="57" t="s">
        <v>218</v>
      </c>
      <c r="M188" s="57" t="s">
        <v>218</v>
      </c>
      <c r="O188" s="69" t="s">
        <v>237</v>
      </c>
      <c r="P188" s="57" t="s">
        <v>575</v>
      </c>
    </row>
    <row r="189" spans="1:16" x14ac:dyDescent="0.2">
      <c r="A189" s="1" t="s">
        <v>593</v>
      </c>
      <c r="B189" s="51" t="s">
        <v>573</v>
      </c>
      <c r="C189" s="49">
        <v>1</v>
      </c>
      <c r="D189" s="49">
        <v>2</v>
      </c>
      <c r="E189" s="49">
        <v>16</v>
      </c>
      <c r="F189" s="49">
        <v>50</v>
      </c>
      <c r="G189" s="49" t="str">
        <f>H189&amp;IF(I189="e14fr",IF(Karakterlap!$F$3-14&gt;0,"+"&amp;Karakterlap!$F$3-14,""),IF(I189="e16fr",IF(Karakterlap!$F$3-16&gt;0,"+"&amp;Karakterlap!$F$3-16,""),""))</f>
        <v>K6+1</v>
      </c>
      <c r="H189" s="49" t="s">
        <v>254</v>
      </c>
      <c r="I189" s="49">
        <v>0</v>
      </c>
      <c r="J189" s="49">
        <v>3.5</v>
      </c>
      <c r="K189" s="57" t="s">
        <v>353</v>
      </c>
      <c r="L189" s="57" t="s">
        <v>220</v>
      </c>
      <c r="M189" s="57" t="s">
        <v>218</v>
      </c>
      <c r="O189" s="69" t="s">
        <v>237</v>
      </c>
      <c r="P189" s="57" t="s">
        <v>579</v>
      </c>
    </row>
    <row r="190" spans="1:16" x14ac:dyDescent="0.2">
      <c r="A190" s="1" t="s">
        <v>594</v>
      </c>
      <c r="B190" s="51" t="s">
        <v>573</v>
      </c>
      <c r="C190" s="49">
        <v>2</v>
      </c>
      <c r="D190" s="49">
        <v>4</v>
      </c>
      <c r="E190" s="49">
        <v>12</v>
      </c>
      <c r="F190" s="49">
        <v>120</v>
      </c>
      <c r="G190" s="49" t="e">
        <f>H190&amp;IF(I190="e14fr",IF(Karakterlap!$F$3-14&gt;0,"+"&amp;Karakterlap!$F$3-14,""),IF(I190="e16fr",IF(Karakterlap!$F$3-16&gt;0,"+"&amp;Karakterlap!$F$3-16,""),""))</f>
        <v>#VALUE!</v>
      </c>
      <c r="H190" s="49" t="s">
        <v>380</v>
      </c>
      <c r="I190" s="49" t="s">
        <v>217</v>
      </c>
      <c r="J190" s="49">
        <v>0.8</v>
      </c>
      <c r="K190" s="57" t="s">
        <v>590</v>
      </c>
      <c r="L190" s="57" t="s">
        <v>220</v>
      </c>
      <c r="M190" s="57" t="s">
        <v>218</v>
      </c>
      <c r="O190" s="69" t="s">
        <v>595</v>
      </c>
      <c r="P190" s="57" t="s">
        <v>246</v>
      </c>
    </row>
    <row r="191" spans="1:16" x14ac:dyDescent="0.2">
      <c r="A191" s="1" t="s">
        <v>596</v>
      </c>
      <c r="B191" s="51" t="s">
        <v>573</v>
      </c>
      <c r="C191" s="61">
        <v>0.33333333333333331</v>
      </c>
      <c r="D191" s="49">
        <v>0</v>
      </c>
      <c r="E191" s="49">
        <v>15</v>
      </c>
      <c r="F191" s="49">
        <v>60</v>
      </c>
      <c r="G191" s="49" t="str">
        <f>H191&amp;IF(I191="e14fr",IF(Karakterlap!$F$3-14&gt;0,"+"&amp;Karakterlap!$F$3-14,""),IF(I191="e16fr",IF(Karakterlap!$F$3-16&gt;0,"+"&amp;Karakterlap!$F$3-16,""),""))</f>
        <v>K10+2</v>
      </c>
      <c r="H191" s="49" t="s">
        <v>380</v>
      </c>
      <c r="I191" s="49">
        <v>0</v>
      </c>
      <c r="J191" s="49">
        <v>6</v>
      </c>
      <c r="K191" s="57" t="s">
        <v>597</v>
      </c>
      <c r="L191" s="57" t="s">
        <v>220</v>
      </c>
      <c r="M191" s="57" t="s">
        <v>218</v>
      </c>
      <c r="O191" s="69" t="s">
        <v>237</v>
      </c>
      <c r="P191" s="57" t="s">
        <v>579</v>
      </c>
    </row>
    <row r="192" spans="1:16" x14ac:dyDescent="0.2">
      <c r="A192" s="1" t="s">
        <v>598</v>
      </c>
      <c r="B192" s="51" t="s">
        <v>573</v>
      </c>
      <c r="C192" s="49">
        <v>1</v>
      </c>
      <c r="D192" s="49">
        <v>2</v>
      </c>
      <c r="E192" s="49">
        <v>17</v>
      </c>
      <c r="F192" s="49">
        <v>50</v>
      </c>
      <c r="G192" s="49" t="e">
        <f>H192&amp;IF(I192="e14fr",IF(Karakterlap!$F$3-14&gt;0,"+"&amp;Karakterlap!$F$3-14,""),IF(I192="e16fr",IF(Karakterlap!$F$3-16&gt;0,"+"&amp;Karakterlap!$F$3-16,""),""))</f>
        <v>#VALUE!</v>
      </c>
      <c r="H192" s="49" t="s">
        <v>254</v>
      </c>
      <c r="I192" s="49" t="s">
        <v>217</v>
      </c>
      <c r="J192" s="49">
        <v>3.5</v>
      </c>
      <c r="K192" s="49" t="s">
        <v>361</v>
      </c>
      <c r="L192" s="57" t="s">
        <v>220</v>
      </c>
      <c r="M192" s="57" t="s">
        <v>218</v>
      </c>
      <c r="O192" s="69" t="s">
        <v>599</v>
      </c>
      <c r="P192" s="57" t="s">
        <v>483</v>
      </c>
    </row>
    <row r="193" spans="1:16" x14ac:dyDescent="0.2">
      <c r="A193" s="1" t="s">
        <v>600</v>
      </c>
      <c r="B193" s="51" t="s">
        <v>573</v>
      </c>
      <c r="C193" s="49">
        <v>2</v>
      </c>
      <c r="D193" s="49">
        <v>2</v>
      </c>
      <c r="E193" s="49">
        <v>9</v>
      </c>
      <c r="F193" s="49">
        <v>50</v>
      </c>
      <c r="G193" s="49" t="e">
        <f>H193&amp;IF(I193="e14fr",IF(Karakterlap!$F$3-14&gt;0,"+"&amp;Karakterlap!$F$3-14,""),IF(I193="e16fr",IF(Karakterlap!$F$3-16&gt;0,"+"&amp;Karakterlap!$F$3-16,""),""))</f>
        <v>#VALUE!</v>
      </c>
      <c r="H193" s="49" t="s">
        <v>300</v>
      </c>
      <c r="I193" s="49" t="s">
        <v>217</v>
      </c>
      <c r="J193" s="49">
        <v>0.1</v>
      </c>
      <c r="K193" s="57" t="s">
        <v>450</v>
      </c>
      <c r="L193" s="57" t="s">
        <v>220</v>
      </c>
      <c r="M193" s="57" t="s">
        <v>237</v>
      </c>
      <c r="O193" s="69" t="s">
        <v>237</v>
      </c>
      <c r="P193" s="57" t="s">
        <v>575</v>
      </c>
    </row>
    <row r="194" spans="1:16" x14ac:dyDescent="0.2">
      <c r="A194" s="1" t="s">
        <v>601</v>
      </c>
      <c r="B194" s="51" t="s">
        <v>573</v>
      </c>
      <c r="C194" s="49">
        <v>2</v>
      </c>
      <c r="D194" s="49">
        <v>5</v>
      </c>
      <c r="E194" s="49">
        <v>9</v>
      </c>
      <c r="F194" s="49">
        <v>90</v>
      </c>
      <c r="G194" s="49" t="str">
        <f>H194&amp;IF(I194="e14fr",IF(Karakterlap!$F$3-14&gt;0,"+"&amp;Karakterlap!$F$3-14,""),IF(I194="e16fr",IF(Karakterlap!$F$3-16&gt;0,"+"&amp;Karakterlap!$F$3-16,""),""))</f>
        <v>K6+1</v>
      </c>
      <c r="H194" s="49" t="s">
        <v>254</v>
      </c>
      <c r="I194" s="49">
        <v>0</v>
      </c>
      <c r="J194" s="49">
        <v>0.6</v>
      </c>
      <c r="K194" s="57" t="s">
        <v>278</v>
      </c>
      <c r="L194" s="57" t="s">
        <v>220</v>
      </c>
      <c r="M194" s="57" t="s">
        <v>218</v>
      </c>
      <c r="O194" s="69" t="s">
        <v>237</v>
      </c>
      <c r="P194" s="57" t="s">
        <v>579</v>
      </c>
    </row>
    <row r="195" spans="1:16" x14ac:dyDescent="0.2">
      <c r="A195" s="1" t="s">
        <v>602</v>
      </c>
      <c r="B195" s="51" t="s">
        <v>573</v>
      </c>
      <c r="C195" s="61">
        <v>0.2</v>
      </c>
      <c r="D195" s="49">
        <v>0</v>
      </c>
      <c r="E195" s="49">
        <v>17</v>
      </c>
      <c r="F195" s="49">
        <v>80</v>
      </c>
      <c r="G195" s="49" t="str">
        <f>H195&amp;IF(I195="e14fr",IF(Karakterlap!$F$3-14&gt;0,"+"&amp;Karakterlap!$F$3-14,""),IF(I195="e16fr",IF(Karakterlap!$F$3-16&gt;0,"+"&amp;Karakterlap!$F$3-16,""),""))</f>
        <v>2K10</v>
      </c>
      <c r="H195" s="49" t="s">
        <v>511</v>
      </c>
      <c r="I195" s="49">
        <v>0</v>
      </c>
      <c r="J195" s="49">
        <v>8</v>
      </c>
      <c r="K195" s="57" t="s">
        <v>324</v>
      </c>
      <c r="L195" s="57" t="s">
        <v>220</v>
      </c>
      <c r="M195" s="57" t="s">
        <v>237</v>
      </c>
      <c r="O195" s="69" t="s">
        <v>237</v>
      </c>
      <c r="P195" s="57" t="s">
        <v>579</v>
      </c>
    </row>
    <row r="196" spans="1:16" x14ac:dyDescent="0.2">
      <c r="A196" s="1" t="s">
        <v>603</v>
      </c>
      <c r="B196" s="51" t="s">
        <v>573</v>
      </c>
      <c r="C196" s="49">
        <v>3</v>
      </c>
      <c r="D196" s="49">
        <v>10</v>
      </c>
      <c r="E196" s="49">
        <v>6</v>
      </c>
      <c r="F196" s="49">
        <v>3</v>
      </c>
      <c r="G196" s="49" t="str">
        <f>H196&amp;IF(I196="e14fr",IF(Karakterlap!$F$3-14&gt;0,"+"&amp;Karakterlap!$F$3-14,""),IF(I196="e16fr",IF(Karakterlap!$F$3-16&gt;0,"+"&amp;Karakterlap!$F$3-16,""),""))</f>
        <v>tű</v>
      </c>
      <c r="H196" s="49" t="s">
        <v>570</v>
      </c>
      <c r="I196" s="49">
        <v>0</v>
      </c>
      <c r="J196" s="49">
        <v>0.5</v>
      </c>
      <c r="K196" s="57" t="s">
        <v>251</v>
      </c>
      <c r="L196" s="57" t="s">
        <v>218</v>
      </c>
      <c r="M196" s="57" t="s">
        <v>218</v>
      </c>
      <c r="O196" s="69" t="s">
        <v>237</v>
      </c>
      <c r="P196" s="57" t="s">
        <v>579</v>
      </c>
    </row>
    <row r="197" spans="1:16" x14ac:dyDescent="0.2">
      <c r="A197" s="1" t="s">
        <v>604</v>
      </c>
      <c r="B197" s="51" t="s">
        <v>573</v>
      </c>
      <c r="C197" s="49">
        <v>2</v>
      </c>
      <c r="D197" s="49">
        <v>3</v>
      </c>
      <c r="E197" s="49">
        <v>8</v>
      </c>
      <c r="F197" s="49">
        <v>180</v>
      </c>
      <c r="G197" s="49" t="e">
        <f>H197&amp;IF(I197="e14fr",IF(Karakterlap!$F$3-14&gt;0,"+"&amp;Karakterlap!$F$3-14,""),IF(I197="e16fr",IF(Karakterlap!$F$3-16&gt;0,"+"&amp;Karakterlap!$F$3-16,""),""))</f>
        <v>#VALUE!</v>
      </c>
      <c r="H197" s="49" t="s">
        <v>513</v>
      </c>
      <c r="I197" s="49" t="s">
        <v>217</v>
      </c>
      <c r="J197" s="49">
        <v>0.8</v>
      </c>
      <c r="K197" s="57" t="s">
        <v>605</v>
      </c>
      <c r="L197" s="57" t="s">
        <v>220</v>
      </c>
      <c r="M197" s="57" t="s">
        <v>218</v>
      </c>
      <c r="O197" s="69" t="s">
        <v>237</v>
      </c>
      <c r="P197" s="57" t="s">
        <v>579</v>
      </c>
    </row>
    <row r="198" spans="1:16" x14ac:dyDescent="0.2">
      <c r="A198" s="1"/>
      <c r="B198" s="86"/>
      <c r="C198" s="85"/>
      <c r="D198" s="85"/>
      <c r="E198" s="85"/>
      <c r="F198" s="85"/>
      <c r="G198" s="85"/>
      <c r="H198" s="85"/>
      <c r="I198" s="85"/>
      <c r="J198" s="85"/>
      <c r="K198" s="57"/>
      <c r="L198" s="57"/>
      <c r="M198" s="57"/>
      <c r="O198" s="69"/>
      <c r="P198" s="57"/>
    </row>
    <row r="199" spans="1:16" x14ac:dyDescent="0.2">
      <c r="A199" s="33" t="s">
        <v>973</v>
      </c>
      <c r="B199" s="86"/>
      <c r="C199" s="85"/>
      <c r="D199" s="85"/>
      <c r="E199" s="85"/>
      <c r="F199" s="85"/>
      <c r="G199" s="85"/>
      <c r="H199" s="85"/>
      <c r="I199" s="85"/>
      <c r="J199" s="85"/>
      <c r="K199" s="57"/>
      <c r="L199" s="57"/>
      <c r="M199" s="57"/>
      <c r="O199" s="69"/>
      <c r="P199" s="57"/>
    </row>
    <row r="200" spans="1:16" x14ac:dyDescent="0.2">
      <c r="A200" s="1"/>
      <c r="B200" s="86"/>
      <c r="C200" s="85"/>
      <c r="D200" s="85"/>
      <c r="E200" s="85"/>
      <c r="F200" s="85"/>
      <c r="G200" s="85"/>
      <c r="H200" s="85"/>
      <c r="I200" s="85"/>
      <c r="J200" s="85"/>
      <c r="K200" s="57"/>
      <c r="L200" s="57"/>
      <c r="M200" s="57"/>
      <c r="O200" s="69"/>
      <c r="P200" s="57"/>
    </row>
    <row r="201" spans="1:16" x14ac:dyDescent="0.2">
      <c r="A201" s="69" t="s">
        <v>620</v>
      </c>
      <c r="B201" s="69" t="s">
        <v>607</v>
      </c>
      <c r="C201" s="57" t="s">
        <v>218</v>
      </c>
      <c r="D201" s="57" t="s">
        <v>220</v>
      </c>
      <c r="E201" s="57" t="s">
        <v>227</v>
      </c>
      <c r="F201" s="57" t="s">
        <v>640</v>
      </c>
      <c r="G201" s="49" t="e">
        <f>H201&amp;IF(I201="e14fr",IF(Karakterlap!$F$3-14&gt;0,"+"&amp;Karakterlap!$F$3-14,""),IF(I201="e16fr",IF(Karakterlap!$F$3-16&gt;0,"+"&amp;Karakterlap!$F$3-16,""),""))</f>
        <v>#VALUE!</v>
      </c>
      <c r="H201" s="57" t="s">
        <v>307</v>
      </c>
      <c r="I201" s="57" t="s">
        <v>217</v>
      </c>
      <c r="J201" s="57" t="s">
        <v>220</v>
      </c>
      <c r="K201" s="57" t="s">
        <v>244</v>
      </c>
      <c r="L201" s="57" t="s">
        <v>218</v>
      </c>
      <c r="M201" s="57" t="s">
        <v>621</v>
      </c>
      <c r="O201" s="69" t="s">
        <v>622</v>
      </c>
      <c r="P201" s="57" t="s">
        <v>623</v>
      </c>
    </row>
    <row r="202" spans="1:16" x14ac:dyDescent="0.2">
      <c r="A202" s="1" t="s">
        <v>606</v>
      </c>
      <c r="B202" s="76" t="s">
        <v>607</v>
      </c>
      <c r="C202" s="60">
        <v>1</v>
      </c>
      <c r="D202" s="60" t="s">
        <v>218</v>
      </c>
      <c r="E202" s="68">
        <v>0</v>
      </c>
      <c r="F202" s="60" t="s">
        <v>608</v>
      </c>
      <c r="G202" s="49" t="e">
        <f>H202&amp;IF(I202="e14fr",IF(Karakterlap!$F$3-14&gt;0,"+"&amp;Karakterlap!$F$3-14,""),IF(I202="e16fr",IF(Karakterlap!$F$3-16&gt;0,"+"&amp;Karakterlap!$F$3-16,""),""))</f>
        <v>#VALUE!</v>
      </c>
      <c r="H202" s="60" t="s">
        <v>549</v>
      </c>
      <c r="I202" s="57" t="s">
        <v>217</v>
      </c>
      <c r="J202" s="57" t="s">
        <v>218</v>
      </c>
      <c r="K202" s="57" t="s">
        <v>232</v>
      </c>
      <c r="L202" s="57" t="s">
        <v>218</v>
      </c>
      <c r="M202" s="57" t="s">
        <v>241</v>
      </c>
      <c r="O202" s="69" t="s">
        <v>237</v>
      </c>
      <c r="P202" s="57" t="s">
        <v>609</v>
      </c>
    </row>
    <row r="203" spans="1:16" x14ac:dyDescent="0.2">
      <c r="A203" s="1" t="s">
        <v>610</v>
      </c>
      <c r="B203" s="76" t="s">
        <v>607</v>
      </c>
      <c r="C203" s="60">
        <v>1</v>
      </c>
      <c r="D203" s="60" t="s">
        <v>219</v>
      </c>
      <c r="E203" s="68">
        <v>0</v>
      </c>
      <c r="F203" s="60" t="s">
        <v>611</v>
      </c>
      <c r="G203" s="49" t="e">
        <f>H203&amp;IF(I203="e14fr",IF(Karakterlap!$F$3-14&gt;0,"+"&amp;Karakterlap!$F$3-14,""),IF(I203="e16fr",IF(Karakterlap!$F$3-16&gt;0,"+"&amp;Karakterlap!$F$3-16,""),""))</f>
        <v>#VALUE!</v>
      </c>
      <c r="H203" s="60" t="s">
        <v>231</v>
      </c>
      <c r="I203" s="57" t="s">
        <v>217</v>
      </c>
      <c r="J203" s="57" t="s">
        <v>259</v>
      </c>
      <c r="K203" s="57" t="s">
        <v>388</v>
      </c>
      <c r="L203" s="57" t="s">
        <v>218</v>
      </c>
      <c r="M203" s="57" t="s">
        <v>227</v>
      </c>
      <c r="O203" s="69" t="s">
        <v>237</v>
      </c>
      <c r="P203" s="57" t="s">
        <v>609</v>
      </c>
    </row>
    <row r="204" spans="1:16" x14ac:dyDescent="0.2">
      <c r="A204" s="1" t="s">
        <v>612</v>
      </c>
      <c r="B204" s="76" t="s">
        <v>607</v>
      </c>
      <c r="C204" s="60" t="s">
        <v>273</v>
      </c>
      <c r="D204" s="60" t="s">
        <v>219</v>
      </c>
      <c r="E204" s="68">
        <v>0</v>
      </c>
      <c r="F204" s="60" t="s">
        <v>613</v>
      </c>
      <c r="G204" s="49" t="e">
        <f>H204&amp;IF(I204="e14fr",IF(Karakterlap!$F$3-14&gt;0,"+"&amp;Karakterlap!$F$3-14,""),IF(I204="e16fr",IF(Karakterlap!$F$3-16&gt;0,"+"&amp;Karakterlap!$F$3-16,""),""))</f>
        <v>#VALUE!</v>
      </c>
      <c r="H204" s="60" t="s">
        <v>231</v>
      </c>
      <c r="I204" s="57" t="s">
        <v>217</v>
      </c>
      <c r="J204" s="57" t="s">
        <v>241</v>
      </c>
      <c r="K204" s="57" t="s">
        <v>333</v>
      </c>
      <c r="L204" s="57" t="s">
        <v>218</v>
      </c>
      <c r="M204" s="57" t="s">
        <v>614</v>
      </c>
      <c r="O204" s="69" t="s">
        <v>237</v>
      </c>
      <c r="P204" s="57" t="s">
        <v>609</v>
      </c>
    </row>
    <row r="205" spans="1:16" x14ac:dyDescent="0.2">
      <c r="A205" s="69" t="s">
        <v>615</v>
      </c>
      <c r="B205" s="76" t="s">
        <v>607</v>
      </c>
      <c r="C205" s="57" t="s">
        <v>219</v>
      </c>
      <c r="D205" s="57" t="s">
        <v>219</v>
      </c>
      <c r="E205">
        <v>0</v>
      </c>
      <c r="F205" s="57" t="s">
        <v>639</v>
      </c>
      <c r="G205" s="49" t="str">
        <f>H205&amp;IF(I205="e14fr",IF(Karakterlap!$F$3-14&gt;0,"+"&amp;Karakterlap!$F$3-14,""),IF(I205="e16fr",IF(Karakterlap!$F$3-16&gt;0,"+"&amp;Karakterlap!$F$3-16,""),""))</f>
        <v>0</v>
      </c>
      <c r="H205" s="57" t="s">
        <v>219</v>
      </c>
      <c r="I205" s="57" t="s">
        <v>219</v>
      </c>
      <c r="J205" s="57" t="s">
        <v>614</v>
      </c>
      <c r="K205" s="57" t="s">
        <v>353</v>
      </c>
      <c r="L205" s="57" t="s">
        <v>616</v>
      </c>
      <c r="M205" s="57" t="s">
        <v>237</v>
      </c>
      <c r="O205" s="69" t="s">
        <v>617</v>
      </c>
      <c r="P205" s="57" t="s">
        <v>618</v>
      </c>
    </row>
    <row r="206" spans="1:16" x14ac:dyDescent="0.2">
      <c r="A206" s="1" t="s">
        <v>619</v>
      </c>
      <c r="B206" s="76" t="s">
        <v>607</v>
      </c>
      <c r="C206" s="60">
        <v>1</v>
      </c>
      <c r="D206" s="60">
        <v>5</v>
      </c>
      <c r="E206" s="60" t="s">
        <v>362</v>
      </c>
      <c r="F206" s="60" t="s">
        <v>629</v>
      </c>
      <c r="G206" s="49" t="e">
        <f>H206&amp;IF(I206="e14fr",IF(Karakterlap!$F$3-14&gt;0,"+"&amp;Karakterlap!$F$3-14,""),IF(I206="e16fr",IF(Karakterlap!$F$3-16&gt;0,"+"&amp;Karakterlap!$F$3-16,""),""))</f>
        <v>#VALUE!</v>
      </c>
      <c r="H206" s="60" t="s">
        <v>254</v>
      </c>
      <c r="I206" s="57" t="s">
        <v>217</v>
      </c>
      <c r="J206" s="60">
        <v>6</v>
      </c>
      <c r="K206" s="60" t="s">
        <v>258</v>
      </c>
      <c r="L206" s="57" t="s">
        <v>218</v>
      </c>
      <c r="M206" s="57" t="s">
        <v>226</v>
      </c>
      <c r="O206" s="15" t="s">
        <v>237</v>
      </c>
      <c r="P206" s="57" t="s">
        <v>283</v>
      </c>
    </row>
    <row r="207" spans="1:16" x14ac:dyDescent="0.2">
      <c r="A207" s="69"/>
      <c r="B207" s="69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O207" s="69"/>
      <c r="P207" s="57"/>
    </row>
    <row r="208" spans="1:16" x14ac:dyDescent="0.2">
      <c r="A208" s="69"/>
      <c r="B208" s="69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O208" s="69"/>
      <c r="P208" s="57"/>
    </row>
    <row r="209" spans="1:16" x14ac:dyDescent="0.2">
      <c r="A209" s="69"/>
      <c r="B209" s="69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O209" s="69"/>
      <c r="P209" s="57"/>
    </row>
    <row r="210" spans="1:16" x14ac:dyDescent="0.2">
      <c r="A210" s="69"/>
      <c r="B210" s="69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O210" s="69"/>
      <c r="P210" s="57"/>
    </row>
    <row r="211" spans="1:16" x14ac:dyDescent="0.2">
      <c r="A211" s="69"/>
      <c r="B211" s="69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O211" s="69"/>
      <c r="P211" s="57"/>
    </row>
    <row r="212" spans="1:16" x14ac:dyDescent="0.2">
      <c r="A212" s="69"/>
      <c r="B212" s="69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O212" s="69"/>
      <c r="P212" s="57"/>
    </row>
    <row r="213" spans="1:16" x14ac:dyDescent="0.2">
      <c r="A213" s="57"/>
      <c r="B213" s="69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O213" s="69"/>
      <c r="P213" s="57"/>
    </row>
    <row r="214" spans="1:16" x14ac:dyDescent="0.2">
      <c r="A214" s="57"/>
      <c r="B214" s="69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O214" s="69"/>
      <c r="P214" s="57"/>
    </row>
    <row r="215" spans="1:16" x14ac:dyDescent="0.2">
      <c r="A215" s="57"/>
      <c r="B215" s="69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O215" s="69"/>
      <c r="P215" s="57"/>
    </row>
    <row r="216" spans="1:16" x14ac:dyDescent="0.2">
      <c r="A216" s="57"/>
      <c r="B216" s="69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O216" s="69"/>
      <c r="P216" s="57"/>
    </row>
    <row r="217" spans="1:16" x14ac:dyDescent="0.2">
      <c r="A217" s="57"/>
      <c r="B217" s="69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O217" s="69"/>
      <c r="P217" s="57"/>
    </row>
    <row r="218" spans="1:16" x14ac:dyDescent="0.2">
      <c r="A218" s="57"/>
      <c r="B218" s="69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O218" s="69"/>
      <c r="P218" s="57"/>
    </row>
    <row r="219" spans="1:16" x14ac:dyDescent="0.2">
      <c r="A219" s="57"/>
      <c r="B219" s="69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O219" s="69"/>
      <c r="P219" s="57"/>
    </row>
    <row r="220" spans="1:16" x14ac:dyDescent="0.2">
      <c r="A220" s="57"/>
      <c r="B220" s="69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O220" s="69"/>
      <c r="P220" s="57"/>
    </row>
    <row r="221" spans="1:16" x14ac:dyDescent="0.2">
      <c r="A221" s="57"/>
      <c r="B221" s="69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O221" s="69"/>
      <c r="P221" s="57"/>
    </row>
    <row r="222" spans="1:16" x14ac:dyDescent="0.2">
      <c r="A222" s="57"/>
      <c r="B222" s="69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O222" s="69"/>
      <c r="P222" s="57"/>
    </row>
    <row r="223" spans="1:16" x14ac:dyDescent="0.2">
      <c r="A223" s="57"/>
      <c r="B223" s="69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O223" s="69"/>
      <c r="P223" s="57"/>
    </row>
    <row r="224" spans="1:16" x14ac:dyDescent="0.2">
      <c r="A224" s="57"/>
      <c r="B224" s="69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O224" s="69"/>
      <c r="P224" s="57"/>
    </row>
    <row r="225" spans="1:16" x14ac:dyDescent="0.2">
      <c r="A225" s="57"/>
      <c r="B225" s="69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O225" s="69"/>
      <c r="P225" s="57"/>
    </row>
    <row r="226" spans="1:16" x14ac:dyDescent="0.2">
      <c r="A226" s="57"/>
      <c r="B226" s="69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O226" s="69"/>
      <c r="P226" s="57"/>
    </row>
    <row r="227" spans="1:16" x14ac:dyDescent="0.2">
      <c r="A227" s="57"/>
      <c r="B227" s="69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O227" s="69"/>
      <c r="P227" s="57"/>
    </row>
    <row r="228" spans="1:16" x14ac:dyDescent="0.2">
      <c r="A228" s="57"/>
      <c r="B228" s="69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O228" s="69"/>
      <c r="P228" s="57"/>
    </row>
    <row r="229" spans="1:16" x14ac:dyDescent="0.2">
      <c r="A229" s="57"/>
      <c r="B229" s="69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O229" s="69"/>
      <c r="P229" s="57"/>
    </row>
    <row r="230" spans="1:16" x14ac:dyDescent="0.2">
      <c r="A230" s="57"/>
      <c r="B230" s="69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O230" s="69"/>
      <c r="P230" s="57"/>
    </row>
    <row r="231" spans="1:16" x14ac:dyDescent="0.2">
      <c r="A231" s="57"/>
      <c r="B231" s="69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O231" s="69"/>
      <c r="P231" s="57"/>
    </row>
    <row r="232" spans="1:16" x14ac:dyDescent="0.2">
      <c r="A232" s="57"/>
      <c r="B232" s="69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O232" s="69"/>
      <c r="P232" s="57"/>
    </row>
    <row r="233" spans="1:16" x14ac:dyDescent="0.2">
      <c r="A233" s="57"/>
      <c r="B233" s="69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O233" s="69"/>
      <c r="P233" s="57"/>
    </row>
    <row r="234" spans="1:16" x14ac:dyDescent="0.2">
      <c r="A234" s="57"/>
      <c r="B234" s="69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O234" s="69"/>
      <c r="P234" s="57"/>
    </row>
    <row r="235" spans="1:16" x14ac:dyDescent="0.2">
      <c r="A235" s="57"/>
      <c r="B235" s="69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O235" s="69"/>
      <c r="P235" s="57"/>
    </row>
    <row r="236" spans="1:16" x14ac:dyDescent="0.2">
      <c r="A236" s="57"/>
      <c r="B236" s="69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O236" s="69"/>
      <c r="P236" s="57"/>
    </row>
    <row r="237" spans="1:16" x14ac:dyDescent="0.2">
      <c r="A237" s="57"/>
      <c r="B237" s="69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O237" s="69"/>
      <c r="P237" s="57"/>
    </row>
    <row r="238" spans="1:16" x14ac:dyDescent="0.2">
      <c r="A238" s="57"/>
      <c r="B238" s="69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O238" s="69"/>
      <c r="P238" s="57"/>
    </row>
    <row r="239" spans="1:16" x14ac:dyDescent="0.2">
      <c r="A239" s="57"/>
      <c r="B239" s="69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O239" s="69"/>
      <c r="P239" s="57"/>
    </row>
    <row r="240" spans="1:16" x14ac:dyDescent="0.2">
      <c r="A240" s="57"/>
      <c r="B240" s="69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O240" s="69"/>
      <c r="P240" s="57"/>
    </row>
    <row r="241" spans="1:16" x14ac:dyDescent="0.2">
      <c r="A241" s="57"/>
      <c r="B241" s="69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O241" s="69"/>
      <c r="P241" s="57"/>
    </row>
    <row r="242" spans="1:16" x14ac:dyDescent="0.2">
      <c r="A242" s="57"/>
      <c r="B242" s="69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O242" s="69"/>
      <c r="P242" s="57"/>
    </row>
    <row r="243" spans="1:16" x14ac:dyDescent="0.2">
      <c r="A243" s="57"/>
      <c r="B243" s="69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O243" s="69"/>
      <c r="P243" s="57"/>
    </row>
    <row r="244" spans="1:16" x14ac:dyDescent="0.2">
      <c r="A244" s="57"/>
      <c r="B244" s="69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O244" s="69"/>
      <c r="P244" s="57"/>
    </row>
    <row r="245" spans="1:16" x14ac:dyDescent="0.2">
      <c r="A245" s="57"/>
      <c r="B245" s="69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O245" s="69"/>
      <c r="P245" s="57"/>
    </row>
    <row r="246" spans="1:16" x14ac:dyDescent="0.2">
      <c r="A246" s="57"/>
      <c r="B246" s="69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O246" s="69"/>
      <c r="P246" s="57"/>
    </row>
    <row r="247" spans="1:16" x14ac:dyDescent="0.2">
      <c r="A247" s="57"/>
      <c r="B247" s="69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O247" s="69"/>
      <c r="P247" s="57"/>
    </row>
    <row r="248" spans="1:16" x14ac:dyDescent="0.2">
      <c r="A248" s="57"/>
      <c r="B248" s="69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O248" s="69"/>
      <c r="P248" s="57"/>
    </row>
    <row r="249" spans="1:16" x14ac:dyDescent="0.2">
      <c r="A249" s="57"/>
      <c r="B249" s="69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O249" s="69"/>
      <c r="P249" s="57"/>
    </row>
    <row r="250" spans="1:16" x14ac:dyDescent="0.2">
      <c r="A250" s="57"/>
      <c r="B250" s="69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O250" s="69"/>
      <c r="P250" s="57"/>
    </row>
    <row r="251" spans="1:16" x14ac:dyDescent="0.2">
      <c r="A251" s="57"/>
      <c r="B251" s="69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O251" s="69"/>
      <c r="P251" s="57"/>
    </row>
    <row r="252" spans="1:16" x14ac:dyDescent="0.2">
      <c r="A252" s="57"/>
      <c r="B252" s="69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O252" s="69"/>
      <c r="P252" s="57"/>
    </row>
    <row r="253" spans="1:16" x14ac:dyDescent="0.2">
      <c r="A253" s="57"/>
      <c r="B253" s="69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O253" s="69"/>
      <c r="P253" s="57"/>
    </row>
    <row r="254" spans="1:16" x14ac:dyDescent="0.2">
      <c r="A254" s="57"/>
      <c r="B254" s="69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O254" s="69"/>
      <c r="P254" s="57"/>
    </row>
    <row r="255" spans="1:16" x14ac:dyDescent="0.2">
      <c r="A255" s="57"/>
      <c r="B255" s="69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O255" s="69"/>
      <c r="P255" s="57"/>
    </row>
    <row r="256" spans="1:16" x14ac:dyDescent="0.2">
      <c r="A256" s="57"/>
      <c r="B256" s="69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O256" s="69"/>
      <c r="P256" s="57"/>
    </row>
    <row r="257" spans="1:16" x14ac:dyDescent="0.2">
      <c r="A257" s="57"/>
      <c r="B257" s="69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O257" s="69"/>
      <c r="P257" s="57"/>
    </row>
    <row r="258" spans="1:16" x14ac:dyDescent="0.2">
      <c r="A258" s="57"/>
      <c r="B258" s="69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O258" s="69"/>
      <c r="P258" s="57"/>
    </row>
    <row r="259" spans="1:16" x14ac:dyDescent="0.2">
      <c r="A259" s="57"/>
      <c r="B259" s="69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O259" s="69"/>
      <c r="P259" s="57"/>
    </row>
    <row r="260" spans="1:16" x14ac:dyDescent="0.2">
      <c r="A260" s="57"/>
      <c r="B260" s="69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O260" s="69"/>
      <c r="P260" s="57"/>
    </row>
    <row r="261" spans="1:16" x14ac:dyDescent="0.2">
      <c r="A261" s="57"/>
      <c r="B261" s="69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O261" s="69"/>
      <c r="P261" s="57"/>
    </row>
    <row r="262" spans="1:16" x14ac:dyDescent="0.2">
      <c r="A262" s="57"/>
      <c r="B262" s="69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O262" s="69"/>
      <c r="P262" s="57"/>
    </row>
    <row r="263" spans="1:16" x14ac:dyDescent="0.2">
      <c r="A263" s="57"/>
      <c r="B263" s="69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O263" s="69"/>
      <c r="P263" s="57"/>
    </row>
    <row r="264" spans="1:16" x14ac:dyDescent="0.2">
      <c r="A264" s="57"/>
      <c r="B264" s="69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O264" s="69"/>
      <c r="P264" s="57"/>
    </row>
    <row r="265" spans="1:16" x14ac:dyDescent="0.2">
      <c r="A265" s="57"/>
      <c r="B265" s="69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O265" s="69"/>
      <c r="P265" s="57"/>
    </row>
    <row r="266" spans="1:16" x14ac:dyDescent="0.2">
      <c r="A266" s="57"/>
      <c r="B266" s="69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O266" s="69"/>
      <c r="P266" s="57"/>
    </row>
    <row r="267" spans="1:16" x14ac:dyDescent="0.2">
      <c r="A267" s="57"/>
      <c r="B267" s="69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O267" s="69"/>
      <c r="P267" s="57"/>
    </row>
    <row r="268" spans="1:16" x14ac:dyDescent="0.2">
      <c r="A268" s="57"/>
      <c r="B268" s="69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O268" s="69"/>
      <c r="P268" s="57"/>
    </row>
    <row r="269" spans="1:16" x14ac:dyDescent="0.2">
      <c r="A269" s="57"/>
      <c r="B269" s="69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O269" s="69"/>
      <c r="P269" s="57"/>
    </row>
    <row r="270" spans="1:16" x14ac:dyDescent="0.2">
      <c r="A270" s="57"/>
      <c r="B270" s="69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O270" s="69"/>
      <c r="P270" s="57"/>
    </row>
    <row r="271" spans="1:16" x14ac:dyDescent="0.2">
      <c r="A271" s="57"/>
      <c r="B271" s="69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O271" s="69"/>
      <c r="P271" s="57"/>
    </row>
    <row r="272" spans="1:16" x14ac:dyDescent="0.2">
      <c r="A272" s="57"/>
      <c r="B272" s="69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O272" s="69"/>
      <c r="P272" s="57"/>
    </row>
    <row r="273" spans="1:16" x14ac:dyDescent="0.2">
      <c r="A273" s="57"/>
      <c r="B273" s="69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O273" s="69"/>
      <c r="P273" s="57"/>
    </row>
    <row r="274" spans="1:16" x14ac:dyDescent="0.2">
      <c r="A274" s="57"/>
      <c r="B274" s="69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O274" s="69"/>
      <c r="P274" s="57"/>
    </row>
    <row r="275" spans="1:16" x14ac:dyDescent="0.2">
      <c r="A275" s="57"/>
      <c r="B275" s="69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O275" s="69"/>
      <c r="P275" s="57"/>
    </row>
    <row r="276" spans="1:16" x14ac:dyDescent="0.2">
      <c r="A276" s="57"/>
      <c r="B276" s="69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O276" s="69"/>
      <c r="P276" s="57"/>
    </row>
    <row r="277" spans="1:16" x14ac:dyDescent="0.2">
      <c r="A277" s="57"/>
      <c r="B277" s="69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O277" s="69"/>
      <c r="P277" s="57"/>
    </row>
    <row r="278" spans="1:16" x14ac:dyDescent="0.2">
      <c r="A278" s="57"/>
      <c r="B278" s="69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O278" s="69"/>
      <c r="P278" s="57"/>
    </row>
    <row r="279" spans="1:16" x14ac:dyDescent="0.2">
      <c r="A279" s="57"/>
      <c r="B279" s="69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O279" s="69"/>
      <c r="P279" s="57"/>
    </row>
    <row r="280" spans="1:16" x14ac:dyDescent="0.2">
      <c r="A280" s="57"/>
      <c r="B280" s="69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O280" s="69"/>
      <c r="P280" s="57"/>
    </row>
    <row r="281" spans="1:16" x14ac:dyDescent="0.2">
      <c r="A281" s="57"/>
      <c r="B281" s="69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O281" s="69"/>
      <c r="P281" s="57"/>
    </row>
    <row r="282" spans="1:16" x14ac:dyDescent="0.2">
      <c r="A282" s="57"/>
      <c r="B282" s="69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O282" s="69"/>
      <c r="P282" s="57"/>
    </row>
    <row r="283" spans="1:16" x14ac:dyDescent="0.2">
      <c r="A283" s="57"/>
      <c r="B283" s="69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O283" s="69"/>
      <c r="P283" s="57"/>
    </row>
    <row r="284" spans="1:16" x14ac:dyDescent="0.2">
      <c r="A284" s="57"/>
      <c r="B284" s="69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O284" s="69"/>
      <c r="P284" s="57"/>
    </row>
    <row r="285" spans="1:16" x14ac:dyDescent="0.2">
      <c r="A285" s="57"/>
      <c r="B285" s="69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O285" s="69"/>
      <c r="P285" s="57"/>
    </row>
    <row r="286" spans="1:16" x14ac:dyDescent="0.2">
      <c r="A286" s="57"/>
      <c r="B286" s="69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O286" s="69"/>
      <c r="P286" s="57"/>
    </row>
    <row r="287" spans="1:16" x14ac:dyDescent="0.2">
      <c r="A287" s="57"/>
      <c r="B287" s="69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O287" s="69"/>
      <c r="P287" s="57"/>
    </row>
    <row r="288" spans="1:16" x14ac:dyDescent="0.2">
      <c r="A288" s="57"/>
      <c r="B288" s="69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O288" s="69"/>
      <c r="P288" s="57"/>
    </row>
    <row r="289" spans="1:16" x14ac:dyDescent="0.2">
      <c r="A289" s="57"/>
      <c r="B289" s="69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O289" s="69"/>
      <c r="P289" s="57"/>
    </row>
    <row r="290" spans="1:16" x14ac:dyDescent="0.2">
      <c r="A290" s="57"/>
      <c r="B290" s="69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O290" s="69"/>
      <c r="P290" s="57"/>
    </row>
    <row r="291" spans="1:16" x14ac:dyDescent="0.2">
      <c r="A291" s="57"/>
      <c r="B291" s="69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O291" s="69"/>
      <c r="P291" s="57"/>
    </row>
    <row r="292" spans="1:16" x14ac:dyDescent="0.2">
      <c r="A292" s="57"/>
      <c r="B292" s="69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O292" s="69"/>
      <c r="P292" s="57"/>
    </row>
    <row r="293" spans="1:16" x14ac:dyDescent="0.2">
      <c r="A293" s="57"/>
      <c r="B293" s="69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O293" s="69"/>
      <c r="P293" s="57"/>
    </row>
    <row r="294" spans="1:16" x14ac:dyDescent="0.2">
      <c r="A294" s="57"/>
      <c r="B294" s="69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O294" s="69"/>
      <c r="P294" s="57"/>
    </row>
    <row r="295" spans="1:16" x14ac:dyDescent="0.2">
      <c r="A295" s="57"/>
      <c r="B295" s="69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O295" s="69"/>
      <c r="P295" s="57"/>
    </row>
    <row r="296" spans="1:16" x14ac:dyDescent="0.2">
      <c r="A296" s="57"/>
      <c r="B296" s="69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O296" s="69"/>
      <c r="P296" s="57"/>
    </row>
    <row r="297" spans="1:16" x14ac:dyDescent="0.2">
      <c r="A297" s="57"/>
      <c r="B297" s="69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O297" s="69"/>
      <c r="P297" s="57"/>
    </row>
    <row r="298" spans="1:16" x14ac:dyDescent="0.2">
      <c r="A298" s="57"/>
      <c r="B298" s="69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O298" s="69"/>
      <c r="P298" s="57"/>
    </row>
    <row r="299" spans="1:16" x14ac:dyDescent="0.2">
      <c r="A299" s="57"/>
      <c r="B299" s="69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O299" s="69"/>
      <c r="P299" s="57"/>
    </row>
    <row r="300" spans="1:16" x14ac:dyDescent="0.2">
      <c r="A300" s="57"/>
      <c r="B300" s="69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O300" s="69"/>
      <c r="P300" s="57"/>
    </row>
    <row r="301" spans="1:16" x14ac:dyDescent="0.2">
      <c r="A301" s="57"/>
      <c r="B301" s="69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O301" s="69"/>
      <c r="P301" s="57"/>
    </row>
    <row r="302" spans="1:16" x14ac:dyDescent="0.2">
      <c r="A302" s="57"/>
      <c r="B302" s="69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O302" s="69"/>
      <c r="P302" s="57"/>
    </row>
    <row r="303" spans="1:16" x14ac:dyDescent="0.2">
      <c r="A303" s="57"/>
      <c r="B303" s="69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O303" s="69"/>
      <c r="P303" s="57"/>
    </row>
    <row r="304" spans="1:16" x14ac:dyDescent="0.2">
      <c r="A304" s="57"/>
      <c r="B304" s="69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O304" s="69"/>
      <c r="P304" s="57"/>
    </row>
    <row r="305" spans="1:16" x14ac:dyDescent="0.2">
      <c r="A305" s="57"/>
      <c r="B305" s="69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O305" s="69"/>
      <c r="P305" s="57"/>
    </row>
    <row r="306" spans="1:16" x14ac:dyDescent="0.2">
      <c r="A306" s="57"/>
      <c r="B306" s="69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O306" s="69"/>
      <c r="P306" s="57"/>
    </row>
    <row r="307" spans="1:16" x14ac:dyDescent="0.2">
      <c r="A307" s="57"/>
      <c r="B307" s="69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O307" s="69"/>
      <c r="P307" s="57"/>
    </row>
    <row r="308" spans="1:16" x14ac:dyDescent="0.2">
      <c r="A308" s="57"/>
      <c r="B308" s="69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O308" s="69"/>
      <c r="P308" s="57"/>
    </row>
    <row r="309" spans="1:16" x14ac:dyDescent="0.2">
      <c r="A309" s="57"/>
      <c r="B309" s="69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O309" s="69"/>
      <c r="P309" s="57"/>
    </row>
    <row r="310" spans="1:16" x14ac:dyDescent="0.2">
      <c r="A310" s="57"/>
      <c r="B310" s="69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O310" s="69"/>
      <c r="P310" s="57"/>
    </row>
    <row r="311" spans="1:16" x14ac:dyDescent="0.2">
      <c r="A311" s="57"/>
      <c r="B311" s="69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O311" s="69"/>
      <c r="P311" s="57"/>
    </row>
    <row r="312" spans="1:16" x14ac:dyDescent="0.2">
      <c r="A312" s="57"/>
      <c r="B312" s="69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O312" s="69"/>
      <c r="P312" s="57"/>
    </row>
    <row r="313" spans="1:16" x14ac:dyDescent="0.2">
      <c r="A313" s="57"/>
      <c r="B313" s="69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O313" s="69"/>
      <c r="P313" s="57"/>
    </row>
    <row r="314" spans="1:16" x14ac:dyDescent="0.2">
      <c r="A314" s="57"/>
      <c r="B314" s="69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O314" s="69"/>
      <c r="P314" s="57"/>
    </row>
    <row r="315" spans="1:16" x14ac:dyDescent="0.2">
      <c r="A315" s="57"/>
      <c r="B315" s="69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O315" s="69"/>
      <c r="P315" s="57"/>
    </row>
    <row r="316" spans="1:16" x14ac:dyDescent="0.2">
      <c r="A316" s="57"/>
      <c r="B316" s="69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O316" s="69"/>
      <c r="P316" s="57"/>
    </row>
    <row r="317" spans="1:16" x14ac:dyDescent="0.2">
      <c r="A317" s="57"/>
      <c r="B317" s="69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O317" s="69"/>
      <c r="P317" s="57"/>
    </row>
    <row r="318" spans="1:16" x14ac:dyDescent="0.2">
      <c r="A318" s="57"/>
      <c r="B318" s="69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O318" s="69"/>
      <c r="P318" s="57"/>
    </row>
    <row r="319" spans="1:16" x14ac:dyDescent="0.2">
      <c r="A319" s="57"/>
      <c r="B319" s="69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O319" s="69"/>
      <c r="P319" s="57"/>
    </row>
    <row r="320" spans="1:16" x14ac:dyDescent="0.2">
      <c r="A320" s="57"/>
      <c r="B320" s="69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O320" s="69"/>
      <c r="P320" s="57"/>
    </row>
    <row r="321" spans="1:16" x14ac:dyDescent="0.2">
      <c r="A321" s="57"/>
      <c r="B321" s="69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O321" s="69"/>
      <c r="P321" s="57"/>
    </row>
    <row r="322" spans="1:16" x14ac:dyDescent="0.2">
      <c r="A322" s="57"/>
      <c r="B322" s="69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O322" s="69"/>
      <c r="P322" s="57"/>
    </row>
    <row r="323" spans="1:16" x14ac:dyDescent="0.2">
      <c r="A323" s="57"/>
      <c r="B323" s="69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O323" s="69"/>
      <c r="P323" s="57"/>
    </row>
    <row r="324" spans="1:16" x14ac:dyDescent="0.2">
      <c r="A324" s="57"/>
      <c r="B324" s="69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O324" s="69"/>
      <c r="P324" s="57"/>
    </row>
    <row r="325" spans="1:16" x14ac:dyDescent="0.2">
      <c r="A325" s="57"/>
      <c r="B325" s="69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O325" s="69"/>
      <c r="P325" s="57"/>
    </row>
    <row r="326" spans="1:16" x14ac:dyDescent="0.2">
      <c r="A326" s="57"/>
      <c r="B326" s="69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O326" s="69"/>
      <c r="P326" s="57"/>
    </row>
    <row r="327" spans="1:16" x14ac:dyDescent="0.2">
      <c r="A327" s="57"/>
      <c r="B327" s="69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O327" s="69"/>
      <c r="P327" s="57"/>
    </row>
    <row r="328" spans="1:16" x14ac:dyDescent="0.2">
      <c r="A328" s="57"/>
      <c r="B328" s="69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O328" s="69"/>
      <c r="P328" s="57"/>
    </row>
    <row r="329" spans="1:16" x14ac:dyDescent="0.2">
      <c r="A329" s="57"/>
      <c r="B329" s="69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O329" s="69"/>
      <c r="P329" s="57"/>
    </row>
    <row r="330" spans="1:16" x14ac:dyDescent="0.2">
      <c r="A330" s="57"/>
      <c r="B330" s="69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O330" s="69"/>
      <c r="P330" s="57"/>
    </row>
    <row r="331" spans="1:16" x14ac:dyDescent="0.2">
      <c r="A331" s="57"/>
      <c r="B331" s="69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O331" s="69"/>
      <c r="P331" s="57"/>
    </row>
    <row r="332" spans="1:16" x14ac:dyDescent="0.2">
      <c r="A332" s="57"/>
      <c r="B332" s="69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O332" s="69"/>
      <c r="P332" s="57"/>
    </row>
    <row r="333" spans="1:16" x14ac:dyDescent="0.2">
      <c r="A333" s="57"/>
      <c r="B333" s="69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O333" s="69"/>
      <c r="P333" s="57"/>
    </row>
    <row r="334" spans="1:16" x14ac:dyDescent="0.2">
      <c r="A334" s="57"/>
      <c r="B334" s="69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O334" s="69"/>
      <c r="P334" s="57"/>
    </row>
    <row r="335" spans="1:16" x14ac:dyDescent="0.2">
      <c r="A335" s="57"/>
      <c r="B335" s="69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O335" s="69"/>
      <c r="P335" s="57"/>
    </row>
    <row r="336" spans="1:16" x14ac:dyDescent="0.2">
      <c r="A336" s="57"/>
      <c r="B336" s="69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O336" s="69"/>
      <c r="P336" s="57"/>
    </row>
    <row r="337" spans="1:16" x14ac:dyDescent="0.2">
      <c r="A337" s="57"/>
      <c r="B337" s="69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O337" s="69"/>
      <c r="P337" s="57"/>
    </row>
    <row r="338" spans="1:16" x14ac:dyDescent="0.2">
      <c r="A338" s="57"/>
      <c r="B338" s="69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O338" s="69"/>
      <c r="P338" s="57"/>
    </row>
    <row r="339" spans="1:16" x14ac:dyDescent="0.2">
      <c r="A339" s="57"/>
      <c r="B339" s="69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O339" s="69"/>
      <c r="P339" s="57"/>
    </row>
    <row r="340" spans="1:16" x14ac:dyDescent="0.2">
      <c r="A340" s="57"/>
      <c r="B340" s="69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O340" s="69"/>
      <c r="P340" s="57"/>
    </row>
    <row r="341" spans="1:16" x14ac:dyDescent="0.2">
      <c r="A341" s="57"/>
      <c r="B341" s="69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O341" s="69"/>
      <c r="P341" s="57"/>
    </row>
    <row r="342" spans="1:16" x14ac:dyDescent="0.2">
      <c r="A342" s="57"/>
      <c r="B342" s="69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O342" s="69"/>
      <c r="P342" s="57"/>
    </row>
    <row r="343" spans="1:16" x14ac:dyDescent="0.2">
      <c r="A343" s="57"/>
      <c r="B343" s="69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O343" s="69"/>
      <c r="P343" s="57"/>
    </row>
    <row r="344" spans="1:16" x14ac:dyDescent="0.2">
      <c r="A344" s="57"/>
      <c r="B344" s="69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O344" s="69"/>
      <c r="P344" s="57"/>
    </row>
    <row r="345" spans="1:16" x14ac:dyDescent="0.2">
      <c r="A345" s="57"/>
      <c r="B345" s="69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O345" s="69"/>
      <c r="P345" s="57"/>
    </row>
    <row r="346" spans="1:16" x14ac:dyDescent="0.2">
      <c r="A346" s="57"/>
      <c r="B346" s="69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O346" s="69"/>
      <c r="P346" s="57"/>
    </row>
    <row r="347" spans="1:16" x14ac:dyDescent="0.2">
      <c r="A347" s="57"/>
      <c r="B347" s="69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O347" s="69"/>
      <c r="P347" s="57"/>
    </row>
    <row r="348" spans="1:16" x14ac:dyDescent="0.2">
      <c r="A348" s="57"/>
      <c r="B348" s="69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O348" s="69"/>
      <c r="P348" s="57"/>
    </row>
    <row r="349" spans="1:16" x14ac:dyDescent="0.2">
      <c r="A349" s="57"/>
      <c r="B349" s="69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O349" s="69"/>
      <c r="P349" s="57"/>
    </row>
    <row r="350" spans="1:16" x14ac:dyDescent="0.2">
      <c r="A350" s="57"/>
      <c r="B350" s="69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O350" s="69"/>
      <c r="P350" s="57"/>
    </row>
    <row r="351" spans="1:16" x14ac:dyDescent="0.2">
      <c r="A351" s="57"/>
      <c r="B351" s="69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O351" s="69"/>
      <c r="P351" s="57"/>
    </row>
    <row r="352" spans="1:16" x14ac:dyDescent="0.2">
      <c r="A352" s="57"/>
      <c r="B352" s="69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O352" s="69"/>
      <c r="P352" s="57"/>
    </row>
    <row r="353" spans="1:16" x14ac:dyDescent="0.2">
      <c r="A353" s="57"/>
      <c r="B353" s="69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O353" s="69"/>
      <c r="P353" s="57"/>
    </row>
    <row r="354" spans="1:16" x14ac:dyDescent="0.2">
      <c r="A354" s="57"/>
      <c r="B354" s="69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O354" s="69"/>
      <c r="P354" s="57"/>
    </row>
    <row r="355" spans="1:16" x14ac:dyDescent="0.2">
      <c r="A355" s="57"/>
      <c r="B355" s="69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O355" s="69"/>
      <c r="P355" s="57"/>
    </row>
    <row r="356" spans="1:16" x14ac:dyDescent="0.2">
      <c r="A356" s="57"/>
      <c r="B356" s="69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O356" s="69"/>
      <c r="P356" s="57"/>
    </row>
    <row r="357" spans="1:16" x14ac:dyDescent="0.2">
      <c r="A357" s="57"/>
      <c r="B357" s="69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O357" s="69"/>
      <c r="P357" s="57"/>
    </row>
    <row r="358" spans="1:16" x14ac:dyDescent="0.2">
      <c r="A358" s="57"/>
      <c r="B358" s="69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O358" s="69"/>
      <c r="P358" s="57"/>
    </row>
    <row r="359" spans="1:16" x14ac:dyDescent="0.2">
      <c r="A359" s="57"/>
      <c r="B359" s="69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O359" s="69"/>
      <c r="P359" s="57"/>
    </row>
    <row r="360" spans="1:16" x14ac:dyDescent="0.2">
      <c r="A360" s="57"/>
      <c r="B360" s="69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O360" s="69"/>
      <c r="P360" s="57"/>
    </row>
    <row r="361" spans="1:16" x14ac:dyDescent="0.2">
      <c r="A361" s="57"/>
      <c r="B361" s="69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O361" s="69"/>
      <c r="P361" s="57"/>
    </row>
    <row r="362" spans="1:16" x14ac:dyDescent="0.2">
      <c r="A362" s="57"/>
      <c r="B362" s="69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O362" s="69"/>
      <c r="P362" s="57"/>
    </row>
    <row r="363" spans="1:16" x14ac:dyDescent="0.2">
      <c r="A363" s="57"/>
      <c r="B363" s="69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O363" s="69"/>
      <c r="P363" s="57"/>
    </row>
    <row r="364" spans="1:16" x14ac:dyDescent="0.2">
      <c r="A364" s="57"/>
      <c r="B364" s="69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O364" s="69"/>
      <c r="P364" s="57"/>
    </row>
    <row r="365" spans="1:16" x14ac:dyDescent="0.2">
      <c r="A365" s="57"/>
      <c r="B365" s="69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O365" s="69"/>
      <c r="P365" s="57"/>
    </row>
    <row r="366" spans="1:16" x14ac:dyDescent="0.2">
      <c r="A366" s="57"/>
      <c r="B366" s="69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O366" s="69"/>
      <c r="P366" s="57"/>
    </row>
    <row r="367" spans="1:16" x14ac:dyDescent="0.2">
      <c r="A367" s="57"/>
      <c r="B367" s="69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O367" s="69"/>
      <c r="P367" s="57"/>
    </row>
    <row r="368" spans="1:16" x14ac:dyDescent="0.2">
      <c r="A368" s="57"/>
      <c r="B368" s="69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O368" s="69"/>
      <c r="P368" s="57"/>
    </row>
    <row r="369" spans="1:16" x14ac:dyDescent="0.2">
      <c r="A369" s="57"/>
      <c r="B369" s="69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O369" s="69"/>
      <c r="P369" s="57"/>
    </row>
    <row r="370" spans="1:16" x14ac:dyDescent="0.2">
      <c r="A370" s="57"/>
      <c r="B370" s="69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O370" s="69"/>
      <c r="P370" s="57"/>
    </row>
    <row r="371" spans="1:16" x14ac:dyDescent="0.2">
      <c r="A371" s="57"/>
      <c r="B371" s="69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O371" s="69"/>
      <c r="P371" s="57"/>
    </row>
    <row r="372" spans="1:16" x14ac:dyDescent="0.2">
      <c r="A372" s="57"/>
      <c r="B372" s="69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O372" s="69"/>
      <c r="P372" s="57"/>
    </row>
    <row r="373" spans="1:16" x14ac:dyDescent="0.2">
      <c r="A373" s="57"/>
      <c r="B373" s="69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O373" s="69"/>
      <c r="P373" s="57"/>
    </row>
    <row r="374" spans="1:16" x14ac:dyDescent="0.2">
      <c r="A374" s="57"/>
      <c r="B374" s="69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O374" s="69"/>
      <c r="P374" s="57"/>
    </row>
    <row r="375" spans="1:16" x14ac:dyDescent="0.2">
      <c r="A375" s="57"/>
      <c r="B375" s="69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O375" s="69"/>
      <c r="P375" s="57"/>
    </row>
    <row r="376" spans="1:16" x14ac:dyDescent="0.2">
      <c r="A376" s="57"/>
      <c r="B376" s="69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O376" s="69"/>
      <c r="P376" s="57"/>
    </row>
    <row r="377" spans="1:16" x14ac:dyDescent="0.2">
      <c r="A377" s="57"/>
      <c r="B377" s="69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O377" s="69"/>
      <c r="P377" s="57"/>
    </row>
    <row r="378" spans="1:16" x14ac:dyDescent="0.2">
      <c r="A378" s="57"/>
      <c r="B378" s="69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O378" s="69"/>
      <c r="P378" s="57"/>
    </row>
    <row r="379" spans="1:16" x14ac:dyDescent="0.2">
      <c r="A379" s="57"/>
      <c r="B379" s="69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O379" s="69"/>
      <c r="P379" s="57"/>
    </row>
    <row r="380" spans="1:16" x14ac:dyDescent="0.2">
      <c r="A380" s="57"/>
      <c r="B380" s="69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O380" s="69"/>
      <c r="P380" s="57"/>
    </row>
    <row r="381" spans="1:16" x14ac:dyDescent="0.2">
      <c r="A381" s="57"/>
      <c r="B381" s="69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O381" s="69"/>
      <c r="P381" s="57"/>
    </row>
    <row r="382" spans="1:16" x14ac:dyDescent="0.2">
      <c r="A382" s="57"/>
      <c r="B382" s="69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O382" s="69"/>
      <c r="P382" s="57"/>
    </row>
    <row r="383" spans="1:16" x14ac:dyDescent="0.2">
      <c r="A383" s="57"/>
      <c r="B383" s="69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O383" s="69"/>
      <c r="P383" s="57"/>
    </row>
    <row r="384" spans="1:16" x14ac:dyDescent="0.2">
      <c r="A384" s="57"/>
      <c r="B384" s="69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O384" s="69"/>
      <c r="P384" s="57"/>
    </row>
    <row r="385" spans="1:16" x14ac:dyDescent="0.2">
      <c r="A385" s="57"/>
      <c r="B385" s="69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O385" s="69"/>
      <c r="P385" s="57"/>
    </row>
    <row r="386" spans="1:16" x14ac:dyDescent="0.2">
      <c r="A386" s="57"/>
      <c r="B386" s="69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O386" s="69"/>
      <c r="P386" s="57"/>
    </row>
    <row r="387" spans="1:16" x14ac:dyDescent="0.2">
      <c r="A387" s="57"/>
      <c r="B387" s="69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O387" s="69"/>
      <c r="P387" s="57"/>
    </row>
    <row r="388" spans="1:16" x14ac:dyDescent="0.2">
      <c r="A388" s="57"/>
      <c r="B388" s="69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O388" s="69"/>
      <c r="P388" s="57"/>
    </row>
    <row r="389" spans="1:16" x14ac:dyDescent="0.2">
      <c r="A389" s="57"/>
      <c r="B389" s="69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O389" s="69"/>
      <c r="P389" s="57"/>
    </row>
    <row r="390" spans="1:16" x14ac:dyDescent="0.2">
      <c r="A390" s="57"/>
      <c r="B390" s="69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O390" s="69"/>
      <c r="P390" s="57"/>
    </row>
    <row r="391" spans="1:16" x14ac:dyDescent="0.2">
      <c r="A391" s="57"/>
      <c r="B391" s="69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O391" s="69"/>
      <c r="P391" s="57"/>
    </row>
    <row r="392" spans="1:16" x14ac:dyDescent="0.2">
      <c r="A392" s="57"/>
      <c r="B392" s="69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O392" s="69"/>
      <c r="P392" s="57"/>
    </row>
    <row r="393" spans="1:16" x14ac:dyDescent="0.2">
      <c r="A393" s="57"/>
      <c r="B393" s="69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O393" s="69"/>
      <c r="P393" s="57"/>
    </row>
    <row r="394" spans="1:16" x14ac:dyDescent="0.2">
      <c r="A394" s="57"/>
      <c r="B394" s="69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O394" s="69"/>
      <c r="P394" s="57"/>
    </row>
    <row r="395" spans="1:16" x14ac:dyDescent="0.2">
      <c r="A395" s="57"/>
      <c r="B395" s="69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O395" s="69"/>
      <c r="P395" s="57"/>
    </row>
    <row r="396" spans="1:16" x14ac:dyDescent="0.2">
      <c r="A396" s="57"/>
      <c r="B396" s="69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O396" s="69"/>
      <c r="P396" s="57"/>
    </row>
    <row r="397" spans="1:16" x14ac:dyDescent="0.2">
      <c r="A397" s="57"/>
      <c r="B397" s="69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O397" s="69"/>
      <c r="P397" s="57"/>
    </row>
    <row r="398" spans="1:16" x14ac:dyDescent="0.2">
      <c r="A398" s="57"/>
      <c r="B398" s="69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O398" s="69"/>
      <c r="P398" s="57"/>
    </row>
    <row r="399" spans="1:16" x14ac:dyDescent="0.2">
      <c r="A399" s="57"/>
      <c r="B399" s="69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O399" s="69"/>
      <c r="P399" s="57"/>
    </row>
    <row r="400" spans="1:16" x14ac:dyDescent="0.2">
      <c r="A400" s="57"/>
      <c r="B400" s="69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O400" s="69"/>
      <c r="P400" s="57"/>
    </row>
    <row r="401" spans="1:16" x14ac:dyDescent="0.2">
      <c r="A401" s="57"/>
      <c r="B401" s="69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O401" s="69"/>
      <c r="P401" s="57"/>
    </row>
    <row r="402" spans="1:16" x14ac:dyDescent="0.2">
      <c r="A402" s="57"/>
      <c r="B402" s="69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O402" s="69"/>
      <c r="P402" s="57"/>
    </row>
    <row r="403" spans="1:16" x14ac:dyDescent="0.2">
      <c r="A403" s="57"/>
      <c r="B403" s="69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O403" s="69"/>
      <c r="P403" s="57"/>
    </row>
    <row r="404" spans="1:16" x14ac:dyDescent="0.2">
      <c r="A404" s="57"/>
      <c r="B404" s="69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O404" s="69"/>
      <c r="P404" s="57"/>
    </row>
    <row r="405" spans="1:16" x14ac:dyDescent="0.2">
      <c r="A405" s="57"/>
      <c r="B405" s="69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O405" s="69"/>
      <c r="P405" s="57"/>
    </row>
    <row r="406" spans="1:16" x14ac:dyDescent="0.2">
      <c r="A406" s="57"/>
      <c r="B406" s="69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O406" s="69"/>
      <c r="P406" s="57"/>
    </row>
    <row r="407" spans="1:16" x14ac:dyDescent="0.2">
      <c r="A407" s="57"/>
      <c r="B407" s="69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O407" s="69"/>
      <c r="P407" s="57"/>
    </row>
    <row r="408" spans="1:16" x14ac:dyDescent="0.2">
      <c r="A408" s="57"/>
      <c r="B408" s="69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O408" s="69"/>
      <c r="P408" s="57"/>
    </row>
    <row r="409" spans="1:16" x14ac:dyDescent="0.2">
      <c r="A409" s="57"/>
      <c r="B409" s="69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O409" s="69"/>
      <c r="P409" s="57"/>
    </row>
    <row r="410" spans="1:16" x14ac:dyDescent="0.2">
      <c r="A410" s="57"/>
      <c r="B410" s="69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O410" s="69"/>
      <c r="P410" s="57"/>
    </row>
    <row r="411" spans="1:16" x14ac:dyDescent="0.2">
      <c r="A411" s="57"/>
      <c r="B411" s="69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O411" s="69"/>
      <c r="P411" s="57"/>
    </row>
    <row r="412" spans="1:16" x14ac:dyDescent="0.2">
      <c r="A412" s="57"/>
      <c r="B412" s="69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O412" s="69"/>
      <c r="P412" s="57"/>
    </row>
    <row r="413" spans="1:16" x14ac:dyDescent="0.2">
      <c r="A413" s="57"/>
      <c r="B413" s="69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O413" s="69"/>
      <c r="P413" s="57"/>
    </row>
    <row r="414" spans="1:16" x14ac:dyDescent="0.2">
      <c r="A414" s="57"/>
      <c r="B414" s="69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O414" s="69"/>
      <c r="P414" s="57"/>
    </row>
    <row r="415" spans="1:16" x14ac:dyDescent="0.2">
      <c r="A415" s="57"/>
      <c r="B415" s="69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O415" s="69"/>
      <c r="P415" s="57"/>
    </row>
    <row r="416" spans="1:16" x14ac:dyDescent="0.2">
      <c r="A416" s="57"/>
      <c r="B416" s="69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O416" s="69"/>
      <c r="P416" s="57"/>
    </row>
    <row r="417" spans="1:16" x14ac:dyDescent="0.2">
      <c r="A417" s="57"/>
      <c r="B417" s="69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O417" s="69"/>
      <c r="P417" s="57"/>
    </row>
    <row r="418" spans="1:16" x14ac:dyDescent="0.2">
      <c r="A418" s="57"/>
      <c r="B418" s="69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O418" s="69"/>
      <c r="P418" s="57"/>
    </row>
    <row r="419" spans="1:16" x14ac:dyDescent="0.2">
      <c r="A419" s="57"/>
      <c r="B419" s="69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O419" s="69"/>
      <c r="P419" s="57"/>
    </row>
    <row r="420" spans="1:16" x14ac:dyDescent="0.2">
      <c r="A420" s="57"/>
      <c r="B420" s="69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O420" s="69"/>
      <c r="P420" s="57"/>
    </row>
    <row r="421" spans="1:16" x14ac:dyDescent="0.2">
      <c r="A421" s="57"/>
      <c r="B421" s="69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O421" s="69"/>
      <c r="P421" s="57"/>
    </row>
    <row r="422" spans="1:16" x14ac:dyDescent="0.2">
      <c r="A422" s="57"/>
      <c r="B422" s="69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O422" s="69"/>
      <c r="P422" s="57"/>
    </row>
    <row r="423" spans="1:16" x14ac:dyDescent="0.2">
      <c r="A423" s="57"/>
      <c r="B423" s="69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O423" s="69"/>
      <c r="P423" s="57"/>
    </row>
    <row r="424" spans="1:16" x14ac:dyDescent="0.2">
      <c r="A424" s="57"/>
      <c r="B424" s="69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O424" s="69"/>
      <c r="P424" s="57"/>
    </row>
    <row r="425" spans="1:16" x14ac:dyDescent="0.2">
      <c r="A425" s="57"/>
      <c r="B425" s="69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O425" s="69"/>
      <c r="P425" s="57"/>
    </row>
    <row r="426" spans="1:16" x14ac:dyDescent="0.2">
      <c r="A426" s="57"/>
      <c r="B426" s="69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O426" s="69"/>
      <c r="P426" s="57"/>
    </row>
    <row r="427" spans="1:16" x14ac:dyDescent="0.2">
      <c r="A427" s="57"/>
      <c r="B427" s="69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O427" s="69"/>
      <c r="P427" s="57"/>
    </row>
    <row r="428" spans="1:16" x14ac:dyDescent="0.2">
      <c r="A428" s="57"/>
      <c r="B428" s="69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O428" s="69"/>
      <c r="P428" s="57"/>
    </row>
    <row r="429" spans="1:16" x14ac:dyDescent="0.2">
      <c r="A429" s="57"/>
      <c r="B429" s="69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O429" s="69"/>
      <c r="P429" s="57"/>
    </row>
    <row r="430" spans="1:16" x14ac:dyDescent="0.2">
      <c r="A430" s="57"/>
      <c r="B430" s="69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O430" s="69"/>
      <c r="P430" s="57"/>
    </row>
    <row r="431" spans="1:16" x14ac:dyDescent="0.2">
      <c r="A431" s="57"/>
      <c r="B431" s="69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O431" s="69"/>
      <c r="P431" s="57"/>
    </row>
    <row r="432" spans="1:16" x14ac:dyDescent="0.2">
      <c r="A432" s="57"/>
      <c r="B432" s="69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O432" s="69"/>
      <c r="P432" s="57"/>
    </row>
    <row r="433" spans="1:16" x14ac:dyDescent="0.2">
      <c r="A433" s="57"/>
      <c r="B433" s="69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O433" s="69"/>
      <c r="P433" s="57"/>
    </row>
    <row r="434" spans="1:16" x14ac:dyDescent="0.2">
      <c r="A434" s="57"/>
      <c r="B434" s="69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O434" s="69"/>
      <c r="P434" s="57"/>
    </row>
    <row r="435" spans="1:16" x14ac:dyDescent="0.2">
      <c r="A435" s="57"/>
      <c r="B435" s="69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O435" s="69"/>
      <c r="P435" s="57"/>
    </row>
    <row r="436" spans="1:16" x14ac:dyDescent="0.2">
      <c r="A436" s="57"/>
      <c r="B436" s="69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O436" s="69"/>
      <c r="P436" s="57"/>
    </row>
    <row r="437" spans="1:16" x14ac:dyDescent="0.2">
      <c r="A437" s="57"/>
      <c r="B437" s="69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O437" s="69"/>
      <c r="P437" s="57"/>
    </row>
    <row r="438" spans="1:16" x14ac:dyDescent="0.2">
      <c r="A438" s="57"/>
      <c r="B438" s="69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O438" s="69"/>
      <c r="P438" s="57"/>
    </row>
    <row r="439" spans="1:16" x14ac:dyDescent="0.2">
      <c r="A439" s="57"/>
      <c r="B439" s="69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O439" s="69"/>
      <c r="P439" s="57"/>
    </row>
    <row r="440" spans="1:16" x14ac:dyDescent="0.2">
      <c r="A440" s="57"/>
      <c r="B440" s="69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O440" s="69"/>
      <c r="P440" s="57"/>
    </row>
    <row r="441" spans="1:16" x14ac:dyDescent="0.2">
      <c r="A441" s="57"/>
      <c r="B441" s="69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O441" s="69"/>
      <c r="P441" s="57"/>
    </row>
    <row r="442" spans="1:16" x14ac:dyDescent="0.2">
      <c r="A442" s="57"/>
      <c r="B442" s="69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O442" s="69"/>
      <c r="P442" s="57"/>
    </row>
    <row r="443" spans="1:16" x14ac:dyDescent="0.2">
      <c r="A443" s="57"/>
      <c r="B443" s="69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O443" s="69"/>
      <c r="P443" s="57"/>
    </row>
    <row r="444" spans="1:16" x14ac:dyDescent="0.2">
      <c r="A444" s="57"/>
      <c r="B444" s="69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O444" s="69"/>
      <c r="P444" s="57"/>
    </row>
    <row r="445" spans="1:16" x14ac:dyDescent="0.2">
      <c r="A445" s="57"/>
      <c r="B445" s="69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O445" s="69"/>
      <c r="P445" s="57"/>
    </row>
    <row r="446" spans="1:16" x14ac:dyDescent="0.2">
      <c r="A446" s="57"/>
      <c r="B446" s="69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O446" s="69"/>
      <c r="P446" s="57"/>
    </row>
    <row r="447" spans="1:16" x14ac:dyDescent="0.2">
      <c r="A447" s="57"/>
      <c r="B447" s="69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O447" s="69"/>
      <c r="P447" s="57"/>
    </row>
    <row r="448" spans="1:16" x14ac:dyDescent="0.2">
      <c r="A448" s="57"/>
      <c r="B448" s="69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O448" s="69"/>
      <c r="P448" s="57"/>
    </row>
    <row r="449" spans="1:16" x14ac:dyDescent="0.2">
      <c r="A449" s="57"/>
      <c r="B449" s="69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O449" s="69"/>
      <c r="P449" s="57"/>
    </row>
    <row r="450" spans="1:16" x14ac:dyDescent="0.2">
      <c r="A450" s="57"/>
      <c r="B450" s="69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O450" s="69"/>
      <c r="P450" s="57"/>
    </row>
    <row r="451" spans="1:16" x14ac:dyDescent="0.2">
      <c r="A451" s="57"/>
      <c r="B451" s="69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O451" s="69"/>
      <c r="P451" s="57"/>
    </row>
    <row r="452" spans="1:16" x14ac:dyDescent="0.2">
      <c r="A452" s="57"/>
      <c r="B452" s="69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O452" s="69"/>
      <c r="P452" s="57"/>
    </row>
    <row r="453" spans="1:16" x14ac:dyDescent="0.2">
      <c r="A453" s="57"/>
      <c r="B453" s="69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O453" s="69"/>
      <c r="P453" s="57"/>
    </row>
    <row r="454" spans="1:16" x14ac:dyDescent="0.2">
      <c r="A454" s="57"/>
      <c r="B454" s="69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O454" s="69"/>
      <c r="P454" s="57"/>
    </row>
    <row r="455" spans="1:16" x14ac:dyDescent="0.2">
      <c r="A455" s="57"/>
      <c r="B455" s="69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O455" s="69"/>
      <c r="P455" s="57"/>
    </row>
    <row r="456" spans="1:16" x14ac:dyDescent="0.2">
      <c r="A456" s="57"/>
      <c r="B456" s="69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O456" s="69"/>
      <c r="P456" s="57"/>
    </row>
    <row r="457" spans="1:16" x14ac:dyDescent="0.2">
      <c r="A457" s="57"/>
      <c r="B457" s="69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O457" s="69"/>
      <c r="P457" s="57"/>
    </row>
    <row r="458" spans="1:16" x14ac:dyDescent="0.2">
      <c r="A458" s="57"/>
      <c r="B458" s="69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O458" s="69"/>
      <c r="P458" s="57"/>
    </row>
    <row r="459" spans="1:16" x14ac:dyDescent="0.2">
      <c r="A459" s="57"/>
      <c r="B459" s="69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O459" s="69"/>
      <c r="P459" s="57"/>
    </row>
    <row r="460" spans="1:16" x14ac:dyDescent="0.2">
      <c r="A460" s="57"/>
      <c r="B460" s="69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O460" s="69"/>
      <c r="P460" s="57"/>
    </row>
    <row r="461" spans="1:16" x14ac:dyDescent="0.2">
      <c r="A461" s="57"/>
      <c r="B461" s="69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O461" s="69"/>
      <c r="P461" s="57"/>
    </row>
    <row r="462" spans="1:16" x14ac:dyDescent="0.2">
      <c r="A462" s="57"/>
      <c r="B462" s="69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O462" s="69"/>
      <c r="P462" s="57"/>
    </row>
    <row r="463" spans="1:16" x14ac:dyDescent="0.2">
      <c r="A463" s="57"/>
      <c r="B463" s="69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O463" s="69"/>
      <c r="P463" s="57"/>
    </row>
    <row r="464" spans="1:16" x14ac:dyDescent="0.2">
      <c r="A464" s="57"/>
      <c r="B464" s="69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O464" s="69"/>
      <c r="P464" s="57"/>
    </row>
    <row r="465" spans="1:16" x14ac:dyDescent="0.2">
      <c r="A465" s="57"/>
      <c r="B465" s="69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O465" s="69"/>
      <c r="P465" s="57"/>
    </row>
    <row r="466" spans="1:16" x14ac:dyDescent="0.2">
      <c r="A466" s="57"/>
      <c r="B466" s="69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O466" s="69"/>
      <c r="P466" s="57"/>
    </row>
    <row r="467" spans="1:16" x14ac:dyDescent="0.2">
      <c r="A467" s="57"/>
      <c r="B467" s="69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O467" s="69"/>
      <c r="P467" s="57"/>
    </row>
    <row r="468" spans="1:16" x14ac:dyDescent="0.2">
      <c r="A468" s="57"/>
      <c r="B468" s="69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O468" s="69"/>
      <c r="P468" s="57"/>
    </row>
    <row r="469" spans="1:16" x14ac:dyDescent="0.2">
      <c r="A469" s="57"/>
      <c r="B469" s="69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O469" s="69"/>
      <c r="P469" s="57"/>
    </row>
    <row r="470" spans="1:16" x14ac:dyDescent="0.2">
      <c r="A470" s="57"/>
      <c r="B470" s="69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O470" s="69"/>
      <c r="P470" s="57"/>
    </row>
    <row r="471" spans="1:16" x14ac:dyDescent="0.2">
      <c r="A471" s="57"/>
      <c r="B471" s="69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O471" s="69"/>
      <c r="P471" s="57"/>
    </row>
    <row r="472" spans="1:16" x14ac:dyDescent="0.2">
      <c r="A472" s="57"/>
      <c r="B472" s="69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O472" s="69"/>
      <c r="P472" s="57"/>
    </row>
    <row r="473" spans="1:16" x14ac:dyDescent="0.2">
      <c r="A473" s="57"/>
      <c r="B473" s="69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O473" s="69"/>
      <c r="P473" s="57"/>
    </row>
    <row r="474" spans="1:16" x14ac:dyDescent="0.2">
      <c r="A474" s="57"/>
      <c r="B474" s="69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O474" s="69"/>
      <c r="P474" s="57"/>
    </row>
    <row r="475" spans="1:16" x14ac:dyDescent="0.2">
      <c r="A475" s="57"/>
      <c r="B475" s="69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O475" s="69"/>
      <c r="P475" s="57"/>
    </row>
    <row r="476" spans="1:16" x14ac:dyDescent="0.2">
      <c r="A476" s="57"/>
      <c r="B476" s="69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O476" s="69"/>
      <c r="P476" s="57"/>
    </row>
    <row r="477" spans="1:16" x14ac:dyDescent="0.2">
      <c r="A477" s="57"/>
      <c r="B477" s="69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O477" s="69"/>
      <c r="P477" s="57"/>
    </row>
    <row r="478" spans="1:16" x14ac:dyDescent="0.2">
      <c r="A478" s="57"/>
      <c r="B478" s="69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O478" s="69"/>
      <c r="P478" s="57"/>
    </row>
    <row r="479" spans="1:16" x14ac:dyDescent="0.2">
      <c r="A479" s="57"/>
      <c r="B479" s="69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O479" s="69"/>
      <c r="P479" s="57"/>
    </row>
    <row r="480" spans="1:16" x14ac:dyDescent="0.2">
      <c r="A480" s="57"/>
      <c r="B480" s="69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O480" s="69"/>
      <c r="P480" s="57"/>
    </row>
    <row r="481" spans="1:16" x14ac:dyDescent="0.2">
      <c r="A481" s="57"/>
      <c r="B481" s="69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O481" s="69"/>
      <c r="P481" s="57"/>
    </row>
    <row r="482" spans="1:16" x14ac:dyDescent="0.2">
      <c r="A482" s="57"/>
      <c r="B482" s="69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O482" s="69"/>
      <c r="P482" s="57"/>
    </row>
    <row r="483" spans="1:16" x14ac:dyDescent="0.2">
      <c r="A483" s="57"/>
      <c r="B483" s="69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O483" s="69"/>
      <c r="P483" s="57"/>
    </row>
    <row r="484" spans="1:16" x14ac:dyDescent="0.2">
      <c r="A484" s="57"/>
      <c r="B484" s="69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O484" s="69"/>
      <c r="P484" s="57"/>
    </row>
    <row r="485" spans="1:16" x14ac:dyDescent="0.2">
      <c r="A485" s="57"/>
      <c r="B485" s="69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O485" s="69"/>
      <c r="P485" s="57"/>
    </row>
    <row r="486" spans="1:16" x14ac:dyDescent="0.2">
      <c r="A486" s="57"/>
      <c r="B486" s="69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O486" s="69"/>
      <c r="P486" s="57"/>
    </row>
    <row r="487" spans="1:16" x14ac:dyDescent="0.2">
      <c r="A487" s="57"/>
      <c r="B487" s="69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O487" s="69"/>
      <c r="P487" s="57"/>
    </row>
    <row r="488" spans="1:16" x14ac:dyDescent="0.2">
      <c r="A488" s="57"/>
      <c r="B488" s="69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O488" s="69"/>
      <c r="P488" s="57"/>
    </row>
    <row r="489" spans="1:16" x14ac:dyDescent="0.2">
      <c r="A489" s="57"/>
      <c r="B489" s="69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O489" s="69"/>
      <c r="P489" s="57"/>
    </row>
    <row r="490" spans="1:16" x14ac:dyDescent="0.2">
      <c r="A490" s="57"/>
      <c r="B490" s="69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O490" s="69"/>
      <c r="P490" s="57"/>
    </row>
    <row r="491" spans="1:16" x14ac:dyDescent="0.2">
      <c r="A491" s="57"/>
      <c r="B491" s="69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O491" s="69"/>
      <c r="P491" s="57"/>
    </row>
    <row r="492" spans="1:16" x14ac:dyDescent="0.2">
      <c r="A492" s="57"/>
      <c r="B492" s="69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O492" s="69"/>
      <c r="P492" s="57"/>
    </row>
    <row r="493" spans="1:16" x14ac:dyDescent="0.2">
      <c r="A493" s="57"/>
      <c r="B493" s="69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O493" s="69"/>
      <c r="P493" s="57"/>
    </row>
    <row r="494" spans="1:16" x14ac:dyDescent="0.2">
      <c r="A494" s="57"/>
      <c r="B494" s="69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O494" s="69"/>
      <c r="P494" s="57"/>
    </row>
    <row r="495" spans="1:16" x14ac:dyDescent="0.2">
      <c r="A495" s="57"/>
      <c r="B495" s="69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O495" s="69"/>
      <c r="P495" s="57"/>
    </row>
    <row r="496" spans="1:16" x14ac:dyDescent="0.2">
      <c r="A496" s="57"/>
      <c r="B496" s="69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O496" s="69"/>
      <c r="P496" s="57"/>
    </row>
    <row r="497" spans="1:16" x14ac:dyDescent="0.2">
      <c r="A497" s="57"/>
      <c r="B497" s="69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O497" s="69"/>
      <c r="P497" s="57"/>
    </row>
    <row r="498" spans="1:16" x14ac:dyDescent="0.2">
      <c r="A498" s="57"/>
      <c r="B498" s="69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O498" s="69"/>
      <c r="P498" s="57"/>
    </row>
    <row r="499" spans="1:16" x14ac:dyDescent="0.2">
      <c r="A499" s="57"/>
      <c r="B499" s="69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O499" s="69"/>
      <c r="P499" s="57"/>
    </row>
    <row r="500" spans="1:16" x14ac:dyDescent="0.2">
      <c r="A500" s="57"/>
      <c r="B500" s="69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O500" s="69"/>
      <c r="P500" s="57"/>
    </row>
    <row r="501" spans="1:16" x14ac:dyDescent="0.2">
      <c r="A501" s="57"/>
      <c r="B501" s="69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O501" s="69"/>
      <c r="P501" s="57"/>
    </row>
    <row r="502" spans="1:16" x14ac:dyDescent="0.2">
      <c r="A502" s="57"/>
      <c r="B502" s="69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O502" s="69"/>
      <c r="P502" s="57"/>
    </row>
    <row r="503" spans="1:16" x14ac:dyDescent="0.2">
      <c r="A503" s="57"/>
      <c r="B503" s="69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O503" s="69"/>
      <c r="P503" s="57"/>
    </row>
    <row r="504" spans="1:16" x14ac:dyDescent="0.2">
      <c r="A504" s="57"/>
      <c r="B504" s="69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O504" s="69"/>
      <c r="P504" s="57"/>
    </row>
    <row r="505" spans="1:16" x14ac:dyDescent="0.2">
      <c r="A505" s="57"/>
      <c r="B505" s="69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O505" s="69"/>
      <c r="P505" s="57"/>
    </row>
    <row r="506" spans="1:16" x14ac:dyDescent="0.2">
      <c r="A506" s="57"/>
      <c r="B506" s="69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O506" s="69"/>
      <c r="P506" s="57"/>
    </row>
    <row r="507" spans="1:16" x14ac:dyDescent="0.2">
      <c r="A507" s="57"/>
      <c r="B507" s="69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O507" s="69"/>
      <c r="P507" s="57"/>
    </row>
    <row r="508" spans="1:16" x14ac:dyDescent="0.2">
      <c r="A508" s="57"/>
      <c r="B508" s="69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O508" s="69"/>
      <c r="P508" s="57"/>
    </row>
    <row r="509" spans="1:16" x14ac:dyDescent="0.2">
      <c r="A509" s="57"/>
      <c r="B509" s="69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O509" s="69"/>
      <c r="P509" s="57"/>
    </row>
    <row r="510" spans="1:16" x14ac:dyDescent="0.2">
      <c r="A510" s="57"/>
      <c r="B510" s="69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O510" s="69"/>
      <c r="P510" s="57"/>
    </row>
    <row r="511" spans="1:16" x14ac:dyDescent="0.2">
      <c r="A511" s="57"/>
      <c r="B511" s="69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O511" s="69"/>
      <c r="P511" s="57"/>
    </row>
    <row r="512" spans="1:16" x14ac:dyDescent="0.2">
      <c r="A512" s="57"/>
      <c r="B512" s="69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O512" s="69"/>
      <c r="P512" s="57"/>
    </row>
    <row r="513" spans="1:16" x14ac:dyDescent="0.2">
      <c r="A513" s="57"/>
      <c r="B513" s="69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O513" s="69"/>
      <c r="P513" s="57"/>
    </row>
    <row r="514" spans="1:16" x14ac:dyDescent="0.2">
      <c r="A514" s="57"/>
      <c r="B514" s="69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O514" s="69"/>
      <c r="P514" s="57"/>
    </row>
    <row r="515" spans="1:16" x14ac:dyDescent="0.2">
      <c r="A515" s="57"/>
      <c r="B515" s="69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O515" s="69"/>
      <c r="P515" s="57"/>
    </row>
    <row r="516" spans="1:16" x14ac:dyDescent="0.2">
      <c r="A516" s="57"/>
      <c r="B516" s="69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O516" s="69"/>
      <c r="P516" s="57"/>
    </row>
    <row r="517" spans="1:16" x14ac:dyDescent="0.2">
      <c r="A517" s="57"/>
      <c r="B517" s="69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O517" s="69"/>
      <c r="P517" s="57"/>
    </row>
    <row r="518" spans="1:16" x14ac:dyDescent="0.2">
      <c r="A518" s="57"/>
      <c r="B518" s="69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O518" s="69"/>
      <c r="P518" s="57"/>
    </row>
    <row r="519" spans="1:16" x14ac:dyDescent="0.2">
      <c r="A519" s="57"/>
      <c r="B519" s="69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O519" s="69"/>
      <c r="P519" s="57"/>
    </row>
    <row r="520" spans="1:16" x14ac:dyDescent="0.2">
      <c r="A520" s="57"/>
      <c r="B520" s="69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O520" s="69"/>
      <c r="P520" s="57"/>
    </row>
    <row r="521" spans="1:16" x14ac:dyDescent="0.2">
      <c r="A521" s="57"/>
      <c r="B521" s="69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O521" s="69"/>
      <c r="P521" s="57"/>
    </row>
    <row r="522" spans="1:16" x14ac:dyDescent="0.2">
      <c r="A522" s="57"/>
      <c r="B522" s="69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O522" s="69"/>
      <c r="P522" s="57"/>
    </row>
    <row r="523" spans="1:16" x14ac:dyDescent="0.2">
      <c r="A523" s="57"/>
      <c r="B523" s="69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O523" s="69"/>
      <c r="P523" s="57"/>
    </row>
    <row r="524" spans="1:16" x14ac:dyDescent="0.2">
      <c r="A524" s="57"/>
      <c r="B524" s="69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O524" s="69"/>
      <c r="P524" s="57"/>
    </row>
    <row r="525" spans="1:16" x14ac:dyDescent="0.2">
      <c r="A525" s="57"/>
      <c r="B525" s="69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O525" s="69"/>
      <c r="P525" s="57"/>
    </row>
    <row r="526" spans="1:16" x14ac:dyDescent="0.2">
      <c r="A526" s="57"/>
      <c r="B526" s="69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O526" s="69"/>
      <c r="P526" s="57"/>
    </row>
    <row r="527" spans="1:16" x14ac:dyDescent="0.2">
      <c r="A527" s="57"/>
      <c r="B527" s="69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O527" s="69"/>
      <c r="P527" s="57"/>
    </row>
    <row r="528" spans="1:16" x14ac:dyDescent="0.2">
      <c r="A528" s="57"/>
      <c r="B528" s="69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O528" s="69"/>
      <c r="P528" s="57"/>
    </row>
    <row r="529" spans="1:16" x14ac:dyDescent="0.2">
      <c r="A529" s="57"/>
      <c r="B529" s="69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O529" s="69"/>
      <c r="P529" s="57"/>
    </row>
    <row r="530" spans="1:16" x14ac:dyDescent="0.2">
      <c r="A530" s="57"/>
      <c r="B530" s="69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O530" s="69"/>
      <c r="P530" s="57"/>
    </row>
    <row r="531" spans="1:16" x14ac:dyDescent="0.2">
      <c r="A531" s="57"/>
      <c r="B531" s="69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O531" s="69"/>
      <c r="P531" s="57"/>
    </row>
    <row r="532" spans="1:16" x14ac:dyDescent="0.2">
      <c r="A532" s="57"/>
      <c r="B532" s="69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O532" s="69"/>
      <c r="P532" s="57"/>
    </row>
    <row r="533" spans="1:16" x14ac:dyDescent="0.2">
      <c r="A533" s="57"/>
      <c r="B533" s="69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O533" s="69"/>
      <c r="P533" s="57"/>
    </row>
    <row r="534" spans="1:16" x14ac:dyDescent="0.2">
      <c r="A534" s="57"/>
      <c r="B534" s="69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O534" s="69"/>
      <c r="P534" s="57"/>
    </row>
    <row r="535" spans="1:16" x14ac:dyDescent="0.2">
      <c r="A535" s="57"/>
      <c r="B535" s="69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O535" s="69"/>
      <c r="P535" s="57"/>
    </row>
    <row r="536" spans="1:16" x14ac:dyDescent="0.2">
      <c r="A536" s="57"/>
      <c r="B536" s="69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O536" s="69"/>
      <c r="P536" s="57"/>
    </row>
    <row r="537" spans="1:16" x14ac:dyDescent="0.2">
      <c r="A537" s="57"/>
      <c r="B537" s="69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O537" s="69"/>
      <c r="P537" s="57"/>
    </row>
    <row r="538" spans="1:16" x14ac:dyDescent="0.2">
      <c r="A538" s="57"/>
      <c r="B538" s="69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O538" s="69"/>
      <c r="P538" s="57"/>
    </row>
    <row r="539" spans="1:16" x14ac:dyDescent="0.2">
      <c r="A539" s="57"/>
      <c r="B539" s="69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O539" s="69"/>
      <c r="P539" s="57"/>
    </row>
    <row r="540" spans="1:16" x14ac:dyDescent="0.2">
      <c r="A540" s="57"/>
      <c r="B540" s="69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O540" s="69"/>
      <c r="P540" s="57"/>
    </row>
    <row r="541" spans="1:16" x14ac:dyDescent="0.2">
      <c r="A541" s="57"/>
      <c r="B541" s="69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O541" s="69"/>
      <c r="P541" s="57"/>
    </row>
    <row r="542" spans="1:16" x14ac:dyDescent="0.2">
      <c r="A542" s="57"/>
      <c r="B542" s="69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O542" s="69"/>
      <c r="P542" s="57"/>
    </row>
    <row r="543" spans="1:16" x14ac:dyDescent="0.2">
      <c r="A543" s="57"/>
      <c r="B543" s="69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O543" s="69"/>
      <c r="P543" s="57"/>
    </row>
    <row r="544" spans="1:16" x14ac:dyDescent="0.2">
      <c r="A544" s="57"/>
      <c r="B544" s="69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O544" s="69"/>
      <c r="P544" s="57"/>
    </row>
    <row r="545" spans="1:16" x14ac:dyDescent="0.2">
      <c r="A545" s="57"/>
      <c r="B545" s="69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O545" s="69"/>
      <c r="P545" s="57"/>
    </row>
    <row r="546" spans="1:16" x14ac:dyDescent="0.2">
      <c r="A546" s="57"/>
      <c r="B546" s="69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O546" s="69"/>
      <c r="P546" s="57"/>
    </row>
    <row r="547" spans="1:16" x14ac:dyDescent="0.2">
      <c r="A547" s="57"/>
      <c r="B547" s="69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O547" s="69"/>
      <c r="P547" s="57"/>
    </row>
    <row r="548" spans="1:16" x14ac:dyDescent="0.2">
      <c r="A548" s="57"/>
      <c r="B548" s="69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O548" s="69"/>
      <c r="P548" s="57"/>
    </row>
    <row r="549" spans="1:16" x14ac:dyDescent="0.2">
      <c r="A549" s="57"/>
      <c r="B549" s="69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O549" s="69"/>
      <c r="P549" s="57"/>
    </row>
    <row r="550" spans="1:16" x14ac:dyDescent="0.2">
      <c r="A550" s="57"/>
      <c r="B550" s="69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O550" s="69"/>
      <c r="P550" s="57"/>
    </row>
    <row r="551" spans="1:16" x14ac:dyDescent="0.2">
      <c r="A551" s="57"/>
      <c r="B551" s="69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O551" s="69"/>
      <c r="P551" s="57"/>
    </row>
    <row r="552" spans="1:16" x14ac:dyDescent="0.2">
      <c r="A552" s="57"/>
      <c r="B552" s="69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O552" s="69"/>
      <c r="P552" s="57"/>
    </row>
    <row r="553" spans="1:16" x14ac:dyDescent="0.2">
      <c r="A553" s="57"/>
      <c r="B553" s="69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O553" s="69"/>
      <c r="P553" s="57"/>
    </row>
    <row r="554" spans="1:16" x14ac:dyDescent="0.2">
      <c r="A554" s="57"/>
      <c r="B554" s="69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O554" s="69"/>
      <c r="P554" s="57"/>
    </row>
    <row r="555" spans="1:16" x14ac:dyDescent="0.2">
      <c r="A555" s="57"/>
      <c r="B555" s="69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O555" s="69"/>
      <c r="P555" s="57"/>
    </row>
    <row r="556" spans="1:16" x14ac:dyDescent="0.2">
      <c r="A556" s="57"/>
      <c r="B556" s="69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O556" s="69"/>
      <c r="P556" s="57"/>
    </row>
    <row r="557" spans="1:16" x14ac:dyDescent="0.2">
      <c r="A557" s="57"/>
      <c r="B557" s="69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O557" s="69"/>
      <c r="P557" s="57"/>
    </row>
    <row r="558" spans="1:16" x14ac:dyDescent="0.2">
      <c r="A558" s="57"/>
      <c r="B558" s="69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O558" s="69"/>
      <c r="P558" s="57"/>
    </row>
    <row r="559" spans="1:16" x14ac:dyDescent="0.2">
      <c r="A559" s="57"/>
      <c r="B559" s="69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O559" s="69"/>
      <c r="P559" s="57"/>
    </row>
    <row r="560" spans="1:16" x14ac:dyDescent="0.2">
      <c r="A560" s="57"/>
      <c r="B560" s="69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O560" s="69"/>
      <c r="P560" s="57"/>
    </row>
    <row r="561" spans="1:16" x14ac:dyDescent="0.2">
      <c r="A561" s="57"/>
      <c r="B561" s="69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O561" s="69"/>
      <c r="P561" s="57"/>
    </row>
    <row r="562" spans="1:16" x14ac:dyDescent="0.2">
      <c r="A562" s="57"/>
      <c r="B562" s="69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O562" s="69"/>
      <c r="P562" s="57"/>
    </row>
    <row r="563" spans="1:16" x14ac:dyDescent="0.2">
      <c r="A563" s="57"/>
      <c r="B563" s="69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O563" s="69"/>
      <c r="P563" s="57"/>
    </row>
    <row r="564" spans="1:16" x14ac:dyDescent="0.2">
      <c r="A564" s="57"/>
      <c r="B564" s="69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O564" s="69"/>
      <c r="P564" s="57"/>
    </row>
    <row r="565" spans="1:16" x14ac:dyDescent="0.2">
      <c r="A565" s="57"/>
      <c r="B565" s="69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O565" s="69"/>
      <c r="P565" s="57"/>
    </row>
    <row r="566" spans="1:16" x14ac:dyDescent="0.2">
      <c r="A566" s="57"/>
      <c r="B566" s="69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O566" s="69"/>
      <c r="P566" s="57"/>
    </row>
    <row r="567" spans="1:16" x14ac:dyDescent="0.2">
      <c r="A567" s="57"/>
      <c r="B567" s="69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O567" s="69"/>
      <c r="P567" s="57"/>
    </row>
    <row r="568" spans="1:16" x14ac:dyDescent="0.2">
      <c r="A568" s="57"/>
      <c r="B568" s="69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O568" s="69"/>
      <c r="P568" s="57"/>
    </row>
    <row r="569" spans="1:16" x14ac:dyDescent="0.2">
      <c r="A569" s="57"/>
      <c r="B569" s="69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O569" s="69"/>
      <c r="P569" s="57"/>
    </row>
    <row r="570" spans="1:16" x14ac:dyDescent="0.2">
      <c r="A570" s="57"/>
      <c r="B570" s="69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O570" s="69"/>
      <c r="P570" s="57"/>
    </row>
    <row r="571" spans="1:16" x14ac:dyDescent="0.2">
      <c r="A571" s="57"/>
      <c r="B571" s="69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O571" s="69"/>
      <c r="P571" s="57"/>
    </row>
    <row r="572" spans="1:16" x14ac:dyDescent="0.2">
      <c r="A572" s="57"/>
      <c r="B572" s="69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O572" s="69"/>
      <c r="P572" s="57"/>
    </row>
    <row r="573" spans="1:16" x14ac:dyDescent="0.2">
      <c r="A573" s="57"/>
      <c r="B573" s="69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O573" s="69"/>
      <c r="P573" s="57"/>
    </row>
    <row r="574" spans="1:16" x14ac:dyDescent="0.2">
      <c r="A574" s="57"/>
      <c r="B574" s="69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O574" s="69"/>
      <c r="P574" s="57"/>
    </row>
    <row r="575" spans="1:16" x14ac:dyDescent="0.2">
      <c r="A575" s="57"/>
      <c r="B575" s="69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O575" s="69"/>
      <c r="P575" s="57"/>
    </row>
    <row r="576" spans="1:16" x14ac:dyDescent="0.2">
      <c r="A576" s="57"/>
      <c r="B576" s="69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O576" s="69"/>
      <c r="P576" s="57"/>
    </row>
    <row r="577" spans="1:16" x14ac:dyDescent="0.2">
      <c r="A577" s="57"/>
      <c r="B577" s="69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O577" s="69"/>
      <c r="P577" s="57"/>
    </row>
    <row r="578" spans="1:16" x14ac:dyDescent="0.2">
      <c r="A578" s="57"/>
      <c r="B578" s="69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O578" s="69"/>
      <c r="P578" s="57"/>
    </row>
    <row r="579" spans="1:16" x14ac:dyDescent="0.2">
      <c r="A579" s="57"/>
      <c r="B579" s="69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O579" s="69"/>
      <c r="P579" s="57"/>
    </row>
    <row r="580" spans="1:16" x14ac:dyDescent="0.2">
      <c r="A580" s="57"/>
      <c r="B580" s="69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O580" s="69"/>
      <c r="P580" s="57"/>
    </row>
    <row r="581" spans="1:16" x14ac:dyDescent="0.2">
      <c r="A581" s="57"/>
      <c r="B581" s="69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O581" s="69"/>
      <c r="P581" s="57"/>
    </row>
    <row r="582" spans="1:16" x14ac:dyDescent="0.2">
      <c r="A582" s="57"/>
      <c r="B582" s="69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O582" s="69"/>
      <c r="P582" s="57"/>
    </row>
    <row r="583" spans="1:16" x14ac:dyDescent="0.2">
      <c r="A583" s="57"/>
      <c r="B583" s="69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O583" s="69"/>
      <c r="P583" s="57"/>
    </row>
    <row r="584" spans="1:16" x14ac:dyDescent="0.2">
      <c r="A584" s="57"/>
      <c r="B584" s="69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O584" s="69"/>
      <c r="P584" s="57"/>
    </row>
    <row r="585" spans="1:16" x14ac:dyDescent="0.2">
      <c r="A585" s="57"/>
      <c r="B585" s="69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O585" s="69"/>
      <c r="P585" s="57"/>
    </row>
    <row r="586" spans="1:16" x14ac:dyDescent="0.2">
      <c r="A586" s="57"/>
      <c r="B586" s="69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O586" s="69"/>
      <c r="P586" s="57"/>
    </row>
    <row r="587" spans="1:16" x14ac:dyDescent="0.2">
      <c r="A587" s="57"/>
      <c r="B587" s="69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O587" s="69"/>
      <c r="P587" s="57"/>
    </row>
    <row r="588" spans="1:16" x14ac:dyDescent="0.2">
      <c r="A588" s="57"/>
      <c r="B588" s="69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O588" s="69"/>
      <c r="P588" s="57"/>
    </row>
    <row r="589" spans="1:16" x14ac:dyDescent="0.2">
      <c r="A589" s="57"/>
      <c r="B589" s="69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O589" s="69"/>
      <c r="P589" s="57"/>
    </row>
    <row r="590" spans="1:16" x14ac:dyDescent="0.2">
      <c r="A590" s="57"/>
      <c r="B590" s="69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O590" s="69"/>
      <c r="P590" s="57"/>
    </row>
    <row r="591" spans="1:16" x14ac:dyDescent="0.2">
      <c r="A591" s="57"/>
      <c r="B591" s="69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O591" s="69"/>
      <c r="P591" s="57"/>
    </row>
    <row r="592" spans="1:16" x14ac:dyDescent="0.2">
      <c r="A592" s="57"/>
      <c r="B592" s="69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O592" s="69"/>
      <c r="P592" s="57"/>
    </row>
    <row r="593" spans="1:16" x14ac:dyDescent="0.2">
      <c r="A593" s="57"/>
      <c r="B593" s="69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O593" s="69"/>
      <c r="P593" s="57"/>
    </row>
    <row r="594" spans="1:16" x14ac:dyDescent="0.2">
      <c r="A594" s="57"/>
      <c r="B594" s="69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O594" s="69"/>
      <c r="P594" s="57"/>
    </row>
    <row r="595" spans="1:16" x14ac:dyDescent="0.2">
      <c r="A595" s="57"/>
      <c r="B595" s="69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O595" s="69"/>
      <c r="P595" s="57"/>
    </row>
    <row r="596" spans="1:16" x14ac:dyDescent="0.2">
      <c r="A596" s="57"/>
      <c r="B596" s="69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O596" s="69"/>
      <c r="P596" s="57"/>
    </row>
    <row r="597" spans="1:16" x14ac:dyDescent="0.2">
      <c r="A597" s="57"/>
      <c r="B597" s="69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O597" s="69"/>
      <c r="P597" s="57"/>
    </row>
    <row r="598" spans="1:16" x14ac:dyDescent="0.2">
      <c r="A598" s="57"/>
      <c r="B598" s="69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O598" s="69"/>
      <c r="P598" s="57"/>
    </row>
    <row r="599" spans="1:16" x14ac:dyDescent="0.2">
      <c r="A599" s="57"/>
      <c r="B599" s="69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O599" s="69"/>
      <c r="P599" s="57"/>
    </row>
    <row r="600" spans="1:16" x14ac:dyDescent="0.2">
      <c r="A600" s="57"/>
      <c r="B600" s="69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O600" s="69"/>
      <c r="P600" s="57"/>
    </row>
    <row r="601" spans="1:16" x14ac:dyDescent="0.2">
      <c r="A601" s="57"/>
      <c r="B601" s="69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O601" s="69"/>
      <c r="P601" s="57"/>
    </row>
    <row r="602" spans="1:16" x14ac:dyDescent="0.2">
      <c r="A602" s="57"/>
      <c r="B602" s="69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O602" s="69"/>
      <c r="P602" s="57"/>
    </row>
    <row r="603" spans="1:16" x14ac:dyDescent="0.2">
      <c r="A603" s="57"/>
      <c r="B603" s="69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O603" s="69"/>
      <c r="P603" s="57"/>
    </row>
    <row r="604" spans="1:16" x14ac:dyDescent="0.2">
      <c r="A604" s="57"/>
      <c r="B604" s="69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O604" s="69"/>
      <c r="P604" s="57"/>
    </row>
    <row r="605" spans="1:16" x14ac:dyDescent="0.2">
      <c r="A605" s="57"/>
      <c r="B605" s="69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O605" s="69"/>
      <c r="P605" s="57"/>
    </row>
    <row r="606" spans="1:16" x14ac:dyDescent="0.2">
      <c r="A606" s="57"/>
      <c r="B606" s="69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O606" s="69"/>
      <c r="P606" s="57"/>
    </row>
    <row r="607" spans="1:16" x14ac:dyDescent="0.2">
      <c r="A607" s="57"/>
      <c r="B607" s="69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O607" s="69"/>
      <c r="P607" s="57"/>
    </row>
    <row r="608" spans="1:16" x14ac:dyDescent="0.2">
      <c r="A608" s="57"/>
      <c r="B608" s="69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O608" s="69"/>
      <c r="P608" s="57"/>
    </row>
    <row r="609" spans="1:16" x14ac:dyDescent="0.2">
      <c r="A609" s="57"/>
      <c r="B609" s="69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O609" s="69"/>
      <c r="P609" s="57"/>
    </row>
    <row r="610" spans="1:16" x14ac:dyDescent="0.2">
      <c r="A610" s="57"/>
      <c r="B610" s="69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O610" s="69"/>
      <c r="P610" s="57"/>
    </row>
    <row r="611" spans="1:16" x14ac:dyDescent="0.2">
      <c r="A611" s="57"/>
      <c r="B611" s="69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O611" s="69"/>
      <c r="P611" s="57"/>
    </row>
    <row r="612" spans="1:16" x14ac:dyDescent="0.2">
      <c r="A612" s="57"/>
      <c r="B612" s="69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O612" s="69"/>
      <c r="P612" s="57"/>
    </row>
    <row r="613" spans="1:16" x14ac:dyDescent="0.2">
      <c r="A613" s="57"/>
      <c r="B613" s="69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O613" s="69"/>
      <c r="P613" s="57"/>
    </row>
    <row r="614" spans="1:16" x14ac:dyDescent="0.2">
      <c r="A614" s="57"/>
      <c r="B614" s="69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O614" s="69"/>
      <c r="P614" s="57"/>
    </row>
    <row r="615" spans="1:16" x14ac:dyDescent="0.2">
      <c r="A615" s="57"/>
      <c r="B615" s="69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O615" s="69"/>
      <c r="P615" s="57"/>
    </row>
    <row r="616" spans="1:16" x14ac:dyDescent="0.2">
      <c r="A616" s="57"/>
      <c r="B616" s="69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O616" s="69"/>
      <c r="P616" s="57"/>
    </row>
    <row r="617" spans="1:16" x14ac:dyDescent="0.2">
      <c r="A617" s="57"/>
      <c r="B617" s="69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O617" s="69"/>
      <c r="P617" s="57"/>
    </row>
    <row r="618" spans="1:16" x14ac:dyDescent="0.2">
      <c r="A618" s="57"/>
      <c r="B618" s="69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O618" s="69"/>
      <c r="P618" s="57"/>
    </row>
    <row r="619" spans="1:16" x14ac:dyDescent="0.2">
      <c r="A619" s="57"/>
      <c r="B619" s="69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O619" s="69"/>
      <c r="P619" s="57"/>
    </row>
    <row r="620" spans="1:16" x14ac:dyDescent="0.2">
      <c r="A620" s="57"/>
      <c r="B620" s="69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O620" s="69"/>
      <c r="P620" s="57"/>
    </row>
    <row r="621" spans="1:16" x14ac:dyDescent="0.2">
      <c r="A621" s="57"/>
      <c r="B621" s="69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O621" s="69"/>
      <c r="P621" s="57"/>
    </row>
    <row r="622" spans="1:16" x14ac:dyDescent="0.2">
      <c r="A622" s="57"/>
      <c r="B622" s="69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O622" s="69"/>
      <c r="P622" s="57"/>
    </row>
    <row r="623" spans="1:16" x14ac:dyDescent="0.2">
      <c r="A623" s="57"/>
      <c r="B623" s="69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O623" s="69"/>
      <c r="P623" s="57"/>
    </row>
    <row r="624" spans="1:16" x14ac:dyDescent="0.2">
      <c r="A624" s="57"/>
      <c r="B624" s="69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O624" s="69"/>
      <c r="P624" s="57"/>
    </row>
    <row r="625" spans="1:16" x14ac:dyDescent="0.2">
      <c r="A625" s="57"/>
      <c r="B625" s="69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O625" s="69"/>
      <c r="P625" s="57"/>
    </row>
    <row r="626" spans="1:16" x14ac:dyDescent="0.2">
      <c r="A626" s="57"/>
      <c r="B626" s="69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O626" s="69"/>
      <c r="P626" s="57"/>
    </row>
    <row r="627" spans="1:16" x14ac:dyDescent="0.2">
      <c r="A627" s="57"/>
      <c r="B627" s="69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O627" s="69"/>
      <c r="P627" s="57"/>
    </row>
    <row r="628" spans="1:16" x14ac:dyDescent="0.2">
      <c r="A628" s="57"/>
      <c r="B628" s="69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O628" s="69"/>
      <c r="P628" s="57"/>
    </row>
    <row r="629" spans="1:16" x14ac:dyDescent="0.2">
      <c r="A629" s="57"/>
      <c r="B629" s="69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O629" s="69"/>
      <c r="P629" s="57"/>
    </row>
    <row r="630" spans="1:16" x14ac:dyDescent="0.2">
      <c r="A630" s="57"/>
      <c r="B630" s="69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O630" s="69"/>
      <c r="P630" s="57"/>
    </row>
    <row r="631" spans="1:16" x14ac:dyDescent="0.2">
      <c r="A631" s="57"/>
      <c r="B631" s="69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O631" s="69"/>
      <c r="P631" s="57"/>
    </row>
    <row r="632" spans="1:16" x14ac:dyDescent="0.2">
      <c r="A632" s="57"/>
      <c r="B632" s="69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O632" s="69"/>
      <c r="P632" s="57"/>
    </row>
    <row r="633" spans="1:16" x14ac:dyDescent="0.2">
      <c r="A633" s="57"/>
      <c r="B633" s="69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O633" s="69"/>
      <c r="P633" s="57"/>
    </row>
    <row r="634" spans="1:16" x14ac:dyDescent="0.2">
      <c r="A634" s="57"/>
      <c r="B634" s="69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O634" s="69"/>
      <c r="P634" s="57"/>
    </row>
    <row r="635" spans="1:16" x14ac:dyDescent="0.2">
      <c r="A635" s="57"/>
      <c r="B635" s="69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O635" s="69"/>
      <c r="P635" s="57"/>
    </row>
    <row r="636" spans="1:16" x14ac:dyDescent="0.2">
      <c r="A636" s="57"/>
      <c r="B636" s="69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O636" s="69"/>
      <c r="P636" s="57"/>
    </row>
    <row r="637" spans="1:16" x14ac:dyDescent="0.2">
      <c r="A637" s="57"/>
      <c r="B637" s="69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O637" s="69"/>
      <c r="P637" s="57"/>
    </row>
    <row r="638" spans="1:16" x14ac:dyDescent="0.2">
      <c r="A638" s="57"/>
      <c r="B638" s="69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O638" s="69"/>
      <c r="P638" s="57"/>
    </row>
    <row r="639" spans="1:16" x14ac:dyDescent="0.2">
      <c r="A639" s="57"/>
      <c r="B639" s="69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O639" s="69"/>
      <c r="P639" s="57"/>
    </row>
    <row r="640" spans="1:16" x14ac:dyDescent="0.2">
      <c r="A640" s="57"/>
      <c r="B640" s="69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O640" s="69"/>
      <c r="P640" s="57"/>
    </row>
    <row r="641" spans="1:16" x14ac:dyDescent="0.2">
      <c r="A641" s="57"/>
      <c r="B641" s="69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O641" s="69"/>
      <c r="P641" s="57"/>
    </row>
    <row r="642" spans="1:16" x14ac:dyDescent="0.2">
      <c r="A642" s="57"/>
      <c r="B642" s="69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O642" s="69"/>
      <c r="P642" s="57"/>
    </row>
    <row r="643" spans="1:16" x14ac:dyDescent="0.2">
      <c r="A643" s="57"/>
      <c r="B643" s="69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O643" s="69"/>
      <c r="P643" s="57"/>
    </row>
    <row r="644" spans="1:16" x14ac:dyDescent="0.2">
      <c r="A644" s="57"/>
      <c r="B644" s="69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O644" s="69"/>
      <c r="P644" s="57"/>
    </row>
    <row r="645" spans="1:16" x14ac:dyDescent="0.2">
      <c r="A645" s="57"/>
      <c r="B645" s="69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O645" s="69"/>
      <c r="P645" s="57"/>
    </row>
    <row r="646" spans="1:16" x14ac:dyDescent="0.2">
      <c r="A646" s="57"/>
      <c r="B646" s="69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O646" s="69"/>
      <c r="P646" s="57"/>
    </row>
    <row r="647" spans="1:16" x14ac:dyDescent="0.2">
      <c r="A647" s="57"/>
      <c r="B647" s="69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O647" s="69"/>
      <c r="P647" s="57"/>
    </row>
    <row r="648" spans="1:16" x14ac:dyDescent="0.2">
      <c r="A648" s="57"/>
      <c r="B648" s="69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O648" s="69"/>
      <c r="P648" s="57"/>
    </row>
    <row r="649" spans="1:16" x14ac:dyDescent="0.2">
      <c r="A649" s="57"/>
      <c r="B649" s="69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O649" s="69"/>
      <c r="P649" s="57"/>
    </row>
    <row r="650" spans="1:16" x14ac:dyDescent="0.2">
      <c r="A650" s="57"/>
      <c r="B650" s="69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O650" s="69"/>
      <c r="P650" s="57"/>
    </row>
    <row r="651" spans="1:16" x14ac:dyDescent="0.2">
      <c r="A651" s="57"/>
      <c r="B651" s="69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O651" s="69"/>
      <c r="P651" s="57"/>
    </row>
    <row r="652" spans="1:16" x14ac:dyDescent="0.2">
      <c r="A652" s="57"/>
      <c r="B652" s="69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O652" s="69"/>
      <c r="P652" s="57"/>
    </row>
    <row r="653" spans="1:16" x14ac:dyDescent="0.2">
      <c r="A653" s="57"/>
      <c r="B653" s="69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O653" s="69"/>
      <c r="P653" s="57"/>
    </row>
    <row r="654" spans="1:16" x14ac:dyDescent="0.2">
      <c r="A654" s="57"/>
      <c r="B654" s="69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O654" s="69"/>
      <c r="P654" s="57"/>
    </row>
    <row r="655" spans="1:16" x14ac:dyDescent="0.2">
      <c r="A655" s="57"/>
      <c r="B655" s="69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O655" s="69"/>
      <c r="P655" s="57"/>
    </row>
    <row r="656" spans="1:16" x14ac:dyDescent="0.2">
      <c r="A656" s="57"/>
      <c r="B656" s="69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O656" s="69"/>
      <c r="P656" s="57"/>
    </row>
    <row r="657" spans="1:16" x14ac:dyDescent="0.2">
      <c r="A657" s="57"/>
      <c r="B657" s="69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O657" s="69"/>
      <c r="P657" s="57"/>
    </row>
    <row r="658" spans="1:16" x14ac:dyDescent="0.2">
      <c r="A658" s="57"/>
      <c r="B658" s="69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O658" s="69"/>
      <c r="P658" s="57"/>
    </row>
    <row r="659" spans="1:16" x14ac:dyDescent="0.2">
      <c r="A659" s="57"/>
      <c r="B659" s="69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O659" s="69"/>
      <c r="P659" s="57"/>
    </row>
    <row r="660" spans="1:16" x14ac:dyDescent="0.2">
      <c r="A660" s="57"/>
      <c r="B660" s="69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O660" s="69"/>
      <c r="P660" s="57"/>
    </row>
    <row r="661" spans="1:16" x14ac:dyDescent="0.2">
      <c r="A661" s="57"/>
      <c r="B661" s="69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O661" s="69"/>
      <c r="P661" s="57"/>
    </row>
    <row r="662" spans="1:16" x14ac:dyDescent="0.2">
      <c r="A662" s="57"/>
      <c r="B662" s="69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O662" s="69"/>
      <c r="P662" s="57"/>
    </row>
    <row r="663" spans="1:16" x14ac:dyDescent="0.2">
      <c r="A663" s="57"/>
      <c r="B663" s="69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O663" s="69"/>
      <c r="P663" s="57"/>
    </row>
    <row r="664" spans="1:16" x14ac:dyDescent="0.2">
      <c r="A664" s="57"/>
      <c r="B664" s="69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O664" s="69"/>
      <c r="P664" s="57"/>
    </row>
    <row r="665" spans="1:16" x14ac:dyDescent="0.2">
      <c r="A665" s="57"/>
      <c r="B665" s="69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O665" s="69"/>
      <c r="P665" s="57"/>
    </row>
    <row r="666" spans="1:16" x14ac:dyDescent="0.2">
      <c r="A666" s="57"/>
      <c r="B666" s="69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O666" s="69"/>
      <c r="P666" s="57"/>
    </row>
    <row r="667" spans="1:16" x14ac:dyDescent="0.2">
      <c r="A667" s="57"/>
      <c r="B667" s="69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O667" s="69"/>
      <c r="P667" s="57"/>
    </row>
    <row r="668" spans="1:16" x14ac:dyDescent="0.2">
      <c r="A668" s="57"/>
      <c r="B668" s="69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O668" s="69"/>
      <c r="P668" s="57"/>
    </row>
    <row r="669" spans="1:16" x14ac:dyDescent="0.2">
      <c r="A669" s="57"/>
      <c r="B669" s="69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O669" s="69"/>
      <c r="P669" s="57"/>
    </row>
    <row r="670" spans="1:16" x14ac:dyDescent="0.2">
      <c r="A670" s="57"/>
      <c r="B670" s="69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O670" s="69"/>
      <c r="P670" s="57"/>
    </row>
    <row r="671" spans="1:16" x14ac:dyDescent="0.2">
      <c r="A671" s="57"/>
      <c r="B671" s="69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O671" s="69"/>
      <c r="P671" s="57"/>
    </row>
    <row r="672" spans="1:16" x14ac:dyDescent="0.2">
      <c r="A672" s="57"/>
      <c r="B672" s="69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O672" s="69"/>
      <c r="P672" s="57"/>
    </row>
    <row r="673" spans="1:16" x14ac:dyDescent="0.2">
      <c r="A673" s="57"/>
      <c r="B673" s="69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O673" s="69"/>
      <c r="P673" s="57"/>
    </row>
    <row r="674" spans="1:16" x14ac:dyDescent="0.2">
      <c r="A674" s="57"/>
      <c r="B674" s="69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O674" s="69"/>
      <c r="P674" s="57"/>
    </row>
    <row r="675" spans="1:16" x14ac:dyDescent="0.2">
      <c r="A675" s="57"/>
      <c r="B675" s="69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O675" s="69"/>
      <c r="P675" s="57"/>
    </row>
    <row r="676" spans="1:16" x14ac:dyDescent="0.2">
      <c r="A676" s="57"/>
      <c r="B676" s="69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O676" s="69"/>
      <c r="P676" s="57"/>
    </row>
    <row r="677" spans="1:16" x14ac:dyDescent="0.2">
      <c r="A677" s="57"/>
      <c r="B677" s="69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O677" s="69"/>
      <c r="P677" s="57"/>
    </row>
    <row r="678" spans="1:16" x14ac:dyDescent="0.2">
      <c r="A678" s="57"/>
      <c r="B678" s="69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O678" s="69"/>
      <c r="P678" s="57"/>
    </row>
    <row r="679" spans="1:16" x14ac:dyDescent="0.2">
      <c r="A679" s="57"/>
      <c r="B679" s="69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O679" s="69"/>
      <c r="P679" s="57"/>
    </row>
    <row r="680" spans="1:16" x14ac:dyDescent="0.2">
      <c r="A680" s="57"/>
      <c r="B680" s="69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O680" s="69"/>
      <c r="P680" s="57"/>
    </row>
    <row r="681" spans="1:16" x14ac:dyDescent="0.2">
      <c r="A681" s="57"/>
      <c r="B681" s="69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O681" s="69"/>
      <c r="P681" s="57"/>
    </row>
    <row r="682" spans="1:16" x14ac:dyDescent="0.2">
      <c r="A682" s="57"/>
      <c r="B682" s="69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O682" s="69"/>
      <c r="P682" s="57"/>
    </row>
    <row r="683" spans="1:16" x14ac:dyDescent="0.2">
      <c r="A683" s="57"/>
      <c r="B683" s="69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O683" s="69"/>
      <c r="P683" s="57"/>
    </row>
    <row r="684" spans="1:16" x14ac:dyDescent="0.2">
      <c r="A684" s="57"/>
      <c r="B684" s="69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O684" s="69"/>
      <c r="P684" s="57"/>
    </row>
    <row r="685" spans="1:16" x14ac:dyDescent="0.2">
      <c r="A685" s="57"/>
      <c r="B685" s="69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O685" s="69"/>
      <c r="P685" s="57"/>
    </row>
    <row r="686" spans="1:16" x14ac:dyDescent="0.2">
      <c r="A686" s="57"/>
      <c r="B686" s="69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O686" s="69"/>
      <c r="P686" s="57"/>
    </row>
    <row r="687" spans="1:16" x14ac:dyDescent="0.2">
      <c r="A687" s="57"/>
      <c r="B687" s="69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O687" s="69"/>
      <c r="P687" s="57"/>
    </row>
    <row r="688" spans="1:16" x14ac:dyDescent="0.2">
      <c r="A688" s="57"/>
      <c r="B688" s="69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O688" s="69"/>
      <c r="P688" s="57"/>
    </row>
    <row r="689" spans="1:16" x14ac:dyDescent="0.2">
      <c r="A689" s="57"/>
      <c r="B689" s="69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O689" s="69"/>
      <c r="P689" s="57"/>
    </row>
    <row r="690" spans="1:16" x14ac:dyDescent="0.2">
      <c r="A690" s="57"/>
      <c r="B690" s="69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O690" s="69"/>
      <c r="P690" s="57"/>
    </row>
    <row r="691" spans="1:16" x14ac:dyDescent="0.2">
      <c r="A691" s="57"/>
      <c r="B691" s="69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O691" s="69"/>
      <c r="P691" s="57"/>
    </row>
    <row r="692" spans="1:16" x14ac:dyDescent="0.2">
      <c r="A692" s="57"/>
      <c r="B692" s="69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O692" s="69"/>
      <c r="P692" s="57"/>
    </row>
    <row r="693" spans="1:16" x14ac:dyDescent="0.2">
      <c r="A693" s="57"/>
      <c r="B693" s="69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O693" s="69"/>
      <c r="P693" s="57"/>
    </row>
    <row r="694" spans="1:16" x14ac:dyDescent="0.2">
      <c r="A694" s="57"/>
      <c r="B694" s="69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O694" s="69"/>
      <c r="P694" s="57"/>
    </row>
    <row r="695" spans="1:16" x14ac:dyDescent="0.2">
      <c r="A695" s="57"/>
      <c r="B695" s="69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O695" s="69"/>
      <c r="P695" s="57"/>
    </row>
    <row r="696" spans="1:16" x14ac:dyDescent="0.2">
      <c r="A696" s="57"/>
      <c r="B696" s="69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O696" s="69"/>
      <c r="P696" s="57"/>
    </row>
    <row r="697" spans="1:16" x14ac:dyDescent="0.2">
      <c r="A697" s="57"/>
      <c r="B697" s="69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O697" s="69"/>
      <c r="P697" s="57"/>
    </row>
    <row r="698" spans="1:16" x14ac:dyDescent="0.2">
      <c r="A698" s="57"/>
      <c r="B698" s="69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O698" s="69"/>
      <c r="P698" s="57"/>
    </row>
    <row r="699" spans="1:16" x14ac:dyDescent="0.2">
      <c r="A699" s="57"/>
      <c r="B699" s="69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O699" s="69"/>
      <c r="P699" s="57"/>
    </row>
    <row r="700" spans="1:16" x14ac:dyDescent="0.2">
      <c r="A700" s="57"/>
      <c r="B700" s="69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O700" s="69"/>
      <c r="P700" s="57"/>
    </row>
    <row r="701" spans="1:16" x14ac:dyDescent="0.2">
      <c r="A701" s="57"/>
      <c r="B701" s="69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O701" s="69"/>
      <c r="P701" s="57"/>
    </row>
    <row r="702" spans="1:16" x14ac:dyDescent="0.2">
      <c r="A702" s="57"/>
      <c r="B702" s="69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O702" s="69"/>
      <c r="P702" s="57"/>
    </row>
    <row r="703" spans="1:16" x14ac:dyDescent="0.2">
      <c r="A703" s="57"/>
      <c r="B703" s="69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O703" s="69"/>
      <c r="P703" s="57"/>
    </row>
    <row r="704" spans="1:16" x14ac:dyDescent="0.2">
      <c r="A704" s="57"/>
      <c r="B704" s="69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O704" s="69"/>
      <c r="P704" s="57"/>
    </row>
    <row r="705" spans="1:16" x14ac:dyDescent="0.2">
      <c r="A705" s="57"/>
      <c r="B705" s="69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O705" s="69"/>
      <c r="P705" s="57"/>
    </row>
    <row r="706" spans="1:16" x14ac:dyDescent="0.2">
      <c r="A706" s="57"/>
      <c r="B706" s="69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O706" s="69"/>
      <c r="P706" s="57"/>
    </row>
    <row r="707" spans="1:16" x14ac:dyDescent="0.2">
      <c r="A707" s="57"/>
      <c r="B707" s="69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O707" s="69"/>
      <c r="P707" s="57"/>
    </row>
    <row r="708" spans="1:16" x14ac:dyDescent="0.2">
      <c r="A708" s="57"/>
      <c r="B708" s="69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O708" s="69"/>
      <c r="P708" s="57"/>
    </row>
    <row r="709" spans="1:16" x14ac:dyDescent="0.2">
      <c r="A709" s="57"/>
      <c r="B709" s="69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O709" s="69"/>
      <c r="P709" s="57"/>
    </row>
    <row r="710" spans="1:16" x14ac:dyDescent="0.2">
      <c r="A710" s="57"/>
      <c r="B710" s="69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O710" s="69"/>
      <c r="P710" s="57"/>
    </row>
    <row r="711" spans="1:16" x14ac:dyDescent="0.2">
      <c r="A711" s="57"/>
      <c r="B711" s="69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O711" s="69"/>
      <c r="P711" s="57"/>
    </row>
    <row r="712" spans="1:16" x14ac:dyDescent="0.2">
      <c r="A712" s="57"/>
      <c r="B712" s="69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O712" s="69"/>
      <c r="P712" s="57"/>
    </row>
    <row r="713" spans="1:16" x14ac:dyDescent="0.2">
      <c r="A713" s="57"/>
      <c r="B713" s="69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O713" s="69"/>
      <c r="P713" s="57"/>
    </row>
    <row r="714" spans="1:16" x14ac:dyDescent="0.2">
      <c r="A714" s="57"/>
      <c r="B714" s="69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O714" s="69"/>
      <c r="P714" s="57"/>
    </row>
    <row r="715" spans="1:16" x14ac:dyDescent="0.2">
      <c r="A715" s="57"/>
      <c r="B715" s="69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O715" s="69"/>
      <c r="P715" s="57"/>
    </row>
    <row r="716" spans="1:16" x14ac:dyDescent="0.2">
      <c r="A716" s="57"/>
      <c r="B716" s="69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O716" s="69"/>
      <c r="P716" s="57"/>
    </row>
    <row r="717" spans="1:16" x14ac:dyDescent="0.2">
      <c r="A717" s="57"/>
      <c r="B717" s="69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O717" s="69"/>
      <c r="P717" s="57"/>
    </row>
    <row r="718" spans="1:16" x14ac:dyDescent="0.2">
      <c r="A718" s="57"/>
      <c r="B718" s="69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O718" s="69"/>
      <c r="P718" s="57"/>
    </row>
    <row r="719" spans="1:16" x14ac:dyDescent="0.2">
      <c r="A719" s="57"/>
      <c r="B719" s="69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O719" s="69"/>
      <c r="P719" s="57"/>
    </row>
    <row r="720" spans="1:16" x14ac:dyDescent="0.2">
      <c r="A720" s="57"/>
      <c r="B720" s="69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O720" s="69"/>
      <c r="P720" s="57"/>
    </row>
    <row r="721" spans="1:16" x14ac:dyDescent="0.2">
      <c r="A721" s="57"/>
      <c r="B721" s="69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O721" s="69"/>
      <c r="P721" s="57"/>
    </row>
    <row r="722" spans="1:16" x14ac:dyDescent="0.2">
      <c r="A722" s="57"/>
      <c r="B722" s="69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O722" s="69"/>
      <c r="P722" s="57"/>
    </row>
    <row r="723" spans="1:16" x14ac:dyDescent="0.2">
      <c r="A723" s="57"/>
      <c r="B723" s="69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O723" s="69"/>
      <c r="P723" s="57"/>
    </row>
    <row r="724" spans="1:16" x14ac:dyDescent="0.2">
      <c r="A724" s="57"/>
      <c r="B724" s="69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O724" s="69"/>
      <c r="P724" s="57"/>
    </row>
    <row r="725" spans="1:16" x14ac:dyDescent="0.2">
      <c r="A725" s="57"/>
      <c r="B725" s="69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O725" s="69"/>
      <c r="P725" s="57"/>
    </row>
    <row r="726" spans="1:16" x14ac:dyDescent="0.2">
      <c r="A726" s="57"/>
      <c r="B726" s="69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O726" s="69"/>
      <c r="P726" s="57"/>
    </row>
    <row r="727" spans="1:16" x14ac:dyDescent="0.2">
      <c r="A727" s="57"/>
      <c r="B727" s="69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O727" s="69"/>
      <c r="P727" s="57"/>
    </row>
    <row r="728" spans="1:16" x14ac:dyDescent="0.2">
      <c r="A728" s="57"/>
      <c r="B728" s="69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O728" s="69"/>
      <c r="P728" s="57"/>
    </row>
    <row r="729" spans="1:16" x14ac:dyDescent="0.2">
      <c r="A729" s="57"/>
      <c r="B729" s="69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O729" s="69"/>
      <c r="P729" s="57"/>
    </row>
    <row r="730" spans="1:16" x14ac:dyDescent="0.2">
      <c r="A730" s="57"/>
      <c r="B730" s="69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O730" s="69"/>
      <c r="P730" s="57"/>
    </row>
    <row r="731" spans="1:16" x14ac:dyDescent="0.2">
      <c r="A731" s="57"/>
      <c r="B731" s="69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O731" s="69"/>
      <c r="P731" s="57"/>
    </row>
    <row r="732" spans="1:16" x14ac:dyDescent="0.2">
      <c r="A732" s="57"/>
      <c r="B732" s="69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O732" s="69"/>
      <c r="P732" s="57"/>
    </row>
    <row r="733" spans="1:16" x14ac:dyDescent="0.2">
      <c r="A733" s="57"/>
      <c r="B733" s="69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O733" s="69"/>
      <c r="P733" s="57"/>
    </row>
    <row r="734" spans="1:16" x14ac:dyDescent="0.2">
      <c r="A734" s="57"/>
      <c r="B734" s="69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O734" s="69"/>
      <c r="P734" s="57"/>
    </row>
    <row r="735" spans="1:16" x14ac:dyDescent="0.2">
      <c r="A735" s="57"/>
      <c r="B735" s="69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O735" s="69"/>
      <c r="P735" s="57"/>
    </row>
    <row r="736" spans="1:16" x14ac:dyDescent="0.2">
      <c r="A736" s="57"/>
      <c r="B736" s="69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O736" s="69"/>
      <c r="P736" s="57"/>
    </row>
    <row r="737" spans="1:16" x14ac:dyDescent="0.2">
      <c r="A737" s="57"/>
      <c r="B737" s="69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O737" s="69"/>
      <c r="P737" s="57"/>
    </row>
    <row r="738" spans="1:16" x14ac:dyDescent="0.2">
      <c r="A738" s="57"/>
      <c r="B738" s="69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O738" s="69"/>
      <c r="P738" s="57"/>
    </row>
    <row r="739" spans="1:16" x14ac:dyDescent="0.2">
      <c r="A739" s="57"/>
      <c r="B739" s="69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O739" s="69"/>
      <c r="P739" s="57"/>
    </row>
    <row r="740" spans="1:16" x14ac:dyDescent="0.2">
      <c r="A740" s="57"/>
      <c r="B740" s="69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O740" s="69"/>
      <c r="P740" s="57"/>
    </row>
    <row r="741" spans="1:16" x14ac:dyDescent="0.2">
      <c r="A741" s="57"/>
      <c r="B741" s="69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O741" s="69"/>
      <c r="P741" s="57"/>
    </row>
    <row r="742" spans="1:16" x14ac:dyDescent="0.2">
      <c r="A742" s="57"/>
      <c r="B742" s="69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O742" s="69"/>
      <c r="P742" s="57"/>
    </row>
    <row r="743" spans="1:16" x14ac:dyDescent="0.2">
      <c r="A743" s="57"/>
      <c r="B743" s="69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O743" s="69"/>
      <c r="P743" s="57"/>
    </row>
    <row r="744" spans="1:16" x14ac:dyDescent="0.2">
      <c r="A744" s="57"/>
      <c r="B744" s="69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O744" s="69"/>
      <c r="P744" s="57"/>
    </row>
    <row r="745" spans="1:16" x14ac:dyDescent="0.2">
      <c r="A745" s="57"/>
      <c r="B745" s="69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O745" s="69"/>
      <c r="P745" s="57"/>
    </row>
    <row r="746" spans="1:16" x14ac:dyDescent="0.2">
      <c r="A746" s="57"/>
      <c r="B746" s="69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O746" s="69"/>
      <c r="P746" s="57"/>
    </row>
    <row r="747" spans="1:16" x14ac:dyDescent="0.2">
      <c r="A747" s="57"/>
      <c r="B747" s="69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O747" s="69"/>
      <c r="P747" s="57"/>
    </row>
    <row r="748" spans="1:16" x14ac:dyDescent="0.2">
      <c r="A748" s="57"/>
      <c r="B748" s="69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O748" s="69"/>
      <c r="P748" s="57"/>
    </row>
    <row r="749" spans="1:16" x14ac:dyDescent="0.2">
      <c r="A749" s="57"/>
      <c r="B749" s="69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O749" s="69"/>
      <c r="P749" s="57"/>
    </row>
    <row r="750" spans="1:16" x14ac:dyDescent="0.2">
      <c r="A750" s="57"/>
      <c r="B750" s="69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O750" s="69"/>
      <c r="P750" s="57"/>
    </row>
    <row r="751" spans="1:16" x14ac:dyDescent="0.2">
      <c r="A751" s="57"/>
      <c r="B751" s="69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O751" s="69"/>
      <c r="P751" s="57"/>
    </row>
    <row r="752" spans="1:16" x14ac:dyDescent="0.2">
      <c r="A752" s="57"/>
      <c r="B752" s="69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O752" s="69"/>
      <c r="P752" s="57"/>
    </row>
    <row r="753" spans="1:16" x14ac:dyDescent="0.2">
      <c r="A753" s="57"/>
      <c r="B753" s="69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O753" s="69"/>
      <c r="P753" s="57"/>
    </row>
    <row r="754" spans="1:16" x14ac:dyDescent="0.2">
      <c r="A754" s="57"/>
      <c r="B754" s="69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O754" s="69"/>
      <c r="P754" s="57"/>
    </row>
    <row r="755" spans="1:16" x14ac:dyDescent="0.2">
      <c r="A755" s="57"/>
      <c r="B755" s="69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O755" s="69"/>
      <c r="P755" s="57"/>
    </row>
    <row r="756" spans="1:16" x14ac:dyDescent="0.2">
      <c r="A756" s="57"/>
      <c r="B756" s="69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O756" s="69"/>
      <c r="P756" s="57"/>
    </row>
    <row r="757" spans="1:16" x14ac:dyDescent="0.2">
      <c r="A757" s="57"/>
      <c r="B757" s="69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O757" s="69"/>
      <c r="P757" s="57"/>
    </row>
    <row r="758" spans="1:16" x14ac:dyDescent="0.2">
      <c r="A758" s="57"/>
      <c r="B758" s="69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O758" s="69"/>
      <c r="P758" s="57"/>
    </row>
    <row r="759" spans="1:16" x14ac:dyDescent="0.2">
      <c r="A759" s="57"/>
      <c r="B759" s="69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O759" s="69"/>
      <c r="P759" s="57"/>
    </row>
    <row r="760" spans="1:16" x14ac:dyDescent="0.2">
      <c r="A760" s="57"/>
      <c r="B760" s="69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O760" s="69"/>
      <c r="P760" s="57"/>
    </row>
    <row r="761" spans="1:16" x14ac:dyDescent="0.2">
      <c r="A761" s="57"/>
      <c r="B761" s="69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O761" s="69"/>
      <c r="P761" s="57"/>
    </row>
    <row r="762" spans="1:16" x14ac:dyDescent="0.2">
      <c r="A762" s="57"/>
      <c r="B762" s="69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O762" s="69"/>
      <c r="P762" s="57"/>
    </row>
    <row r="763" spans="1:16" x14ac:dyDescent="0.2">
      <c r="A763" s="57"/>
      <c r="B763" s="69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O763" s="69"/>
      <c r="P763" s="57"/>
    </row>
    <row r="764" spans="1:16" x14ac:dyDescent="0.2">
      <c r="A764" s="57"/>
      <c r="B764" s="69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O764" s="69"/>
      <c r="P764" s="57"/>
    </row>
    <row r="765" spans="1:16" x14ac:dyDescent="0.2">
      <c r="A765" s="57"/>
      <c r="B765" s="69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O765" s="69"/>
      <c r="P765" s="57"/>
    </row>
    <row r="766" spans="1:16" x14ac:dyDescent="0.2">
      <c r="A766" s="57"/>
      <c r="B766" s="69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O766" s="69"/>
      <c r="P766" s="57"/>
    </row>
    <row r="767" spans="1:16" x14ac:dyDescent="0.2">
      <c r="A767" s="57"/>
      <c r="B767" s="69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O767" s="69"/>
      <c r="P767" s="57"/>
    </row>
    <row r="768" spans="1:16" x14ac:dyDescent="0.2">
      <c r="A768" s="57"/>
      <c r="B768" s="69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O768" s="69"/>
      <c r="P768" s="57"/>
    </row>
    <row r="769" spans="1:16" x14ac:dyDescent="0.2">
      <c r="A769" s="57"/>
      <c r="B769" s="69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O769" s="69"/>
      <c r="P769" s="57"/>
    </row>
    <row r="770" spans="1:16" x14ac:dyDescent="0.2">
      <c r="A770" s="57"/>
      <c r="B770" s="69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O770" s="69"/>
      <c r="P770" s="57"/>
    </row>
    <row r="771" spans="1:16" x14ac:dyDescent="0.2">
      <c r="A771" s="57"/>
      <c r="B771" s="69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O771" s="69"/>
      <c r="P771" s="57"/>
    </row>
    <row r="772" spans="1:16" x14ac:dyDescent="0.2">
      <c r="A772" s="57"/>
      <c r="B772" s="69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O772" s="69"/>
      <c r="P772" s="57"/>
    </row>
    <row r="773" spans="1:16" x14ac:dyDescent="0.2">
      <c r="A773" s="57"/>
      <c r="B773" s="69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O773" s="69"/>
      <c r="P773" s="57"/>
    </row>
    <row r="774" spans="1:16" x14ac:dyDescent="0.2">
      <c r="A774" s="57"/>
      <c r="B774" s="69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O774" s="69"/>
      <c r="P774" s="57"/>
    </row>
    <row r="775" spans="1:16" x14ac:dyDescent="0.2">
      <c r="A775" s="57"/>
      <c r="B775" s="69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O775" s="69"/>
      <c r="P775" s="57"/>
    </row>
    <row r="776" spans="1:16" x14ac:dyDescent="0.2">
      <c r="A776" s="57"/>
      <c r="B776" s="69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O776" s="69"/>
      <c r="P776" s="57"/>
    </row>
    <row r="777" spans="1:16" x14ac:dyDescent="0.2">
      <c r="A777" s="57"/>
      <c r="B777" s="69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O777" s="69"/>
      <c r="P777" s="57"/>
    </row>
    <row r="778" spans="1:16" x14ac:dyDescent="0.2">
      <c r="A778" s="57"/>
      <c r="B778" s="69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O778" s="69"/>
      <c r="P778" s="57"/>
    </row>
    <row r="779" spans="1:16" x14ac:dyDescent="0.2">
      <c r="A779" s="57"/>
      <c r="B779" s="69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O779" s="69"/>
      <c r="P779" s="57"/>
    </row>
    <row r="780" spans="1:16" x14ac:dyDescent="0.2">
      <c r="A780" s="57"/>
      <c r="B780" s="69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O780" s="69"/>
      <c r="P780" s="57"/>
    </row>
    <row r="781" spans="1:16" x14ac:dyDescent="0.2">
      <c r="A781" s="57"/>
      <c r="B781" s="69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O781" s="69"/>
      <c r="P781" s="57"/>
    </row>
    <row r="782" spans="1:16" x14ac:dyDescent="0.2">
      <c r="A782" s="57"/>
      <c r="B782" s="69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O782" s="69"/>
      <c r="P782" s="57"/>
    </row>
    <row r="783" spans="1:16" x14ac:dyDescent="0.2">
      <c r="A783" s="57"/>
      <c r="B783" s="69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O783" s="69"/>
      <c r="P783" s="57"/>
    </row>
    <row r="784" spans="1:16" x14ac:dyDescent="0.2">
      <c r="A784" s="57"/>
      <c r="B784" s="69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O784" s="69"/>
      <c r="P784" s="57"/>
    </row>
    <row r="785" spans="1:16" x14ac:dyDescent="0.2">
      <c r="A785" s="57"/>
      <c r="B785" s="69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O785" s="69"/>
      <c r="P785" s="57"/>
    </row>
    <row r="786" spans="1:16" x14ac:dyDescent="0.2">
      <c r="A786" s="57"/>
      <c r="B786" s="69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O786" s="69"/>
      <c r="P786" s="57"/>
    </row>
    <row r="787" spans="1:16" x14ac:dyDescent="0.2">
      <c r="A787" s="57"/>
      <c r="B787" s="69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O787" s="69"/>
      <c r="P787" s="57"/>
    </row>
    <row r="788" spans="1:16" x14ac:dyDescent="0.2">
      <c r="A788" s="57"/>
      <c r="B788" s="69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O788" s="69"/>
      <c r="P788" s="57"/>
    </row>
    <row r="789" spans="1:16" x14ac:dyDescent="0.2">
      <c r="A789" s="57"/>
      <c r="B789" s="69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O789" s="69"/>
      <c r="P789" s="57"/>
    </row>
    <row r="790" spans="1:16" x14ac:dyDescent="0.2">
      <c r="A790" s="57"/>
      <c r="B790" s="69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O790" s="69"/>
      <c r="P790" s="57"/>
    </row>
    <row r="791" spans="1:16" x14ac:dyDescent="0.2">
      <c r="A791" s="57"/>
      <c r="B791" s="69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O791" s="69"/>
      <c r="P791" s="57"/>
    </row>
    <row r="792" spans="1:16" x14ac:dyDescent="0.2">
      <c r="A792" s="57"/>
      <c r="B792" s="69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O792" s="69"/>
      <c r="P792" s="57"/>
    </row>
    <row r="793" spans="1:16" x14ac:dyDescent="0.2">
      <c r="A793" s="57"/>
      <c r="B793" s="69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O793" s="69"/>
      <c r="P793" s="57"/>
    </row>
    <row r="794" spans="1:16" x14ac:dyDescent="0.2">
      <c r="A794" s="57"/>
      <c r="B794" s="69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O794" s="69"/>
      <c r="P794" s="57"/>
    </row>
    <row r="795" spans="1:16" x14ac:dyDescent="0.2">
      <c r="A795" s="57"/>
      <c r="B795" s="69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O795" s="69"/>
      <c r="P795" s="57"/>
    </row>
    <row r="796" spans="1:16" x14ac:dyDescent="0.2">
      <c r="A796" s="57"/>
      <c r="B796" s="69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O796" s="69"/>
      <c r="P796" s="57"/>
    </row>
    <row r="797" spans="1:16" x14ac:dyDescent="0.2">
      <c r="A797" s="57"/>
      <c r="B797" s="69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O797" s="69"/>
      <c r="P797" s="57"/>
    </row>
    <row r="798" spans="1:16" x14ac:dyDescent="0.2">
      <c r="A798" s="57"/>
      <c r="B798" s="69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O798" s="69"/>
      <c r="P798" s="57"/>
    </row>
    <row r="799" spans="1:16" x14ac:dyDescent="0.2">
      <c r="A799" s="57"/>
      <c r="B799" s="69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O799" s="69"/>
      <c r="P799" s="57"/>
    </row>
    <row r="800" spans="1:16" x14ac:dyDescent="0.2">
      <c r="A800" s="57"/>
      <c r="B800" s="69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O800" s="69"/>
      <c r="P800" s="57"/>
    </row>
    <row r="801" spans="1:16" x14ac:dyDescent="0.2">
      <c r="A801" s="57"/>
      <c r="B801" s="69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O801" s="69"/>
      <c r="P801" s="57"/>
    </row>
    <row r="802" spans="1:16" x14ac:dyDescent="0.2">
      <c r="A802" s="57"/>
      <c r="B802" s="69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O802" s="69"/>
      <c r="P802" s="57"/>
    </row>
    <row r="803" spans="1:16" x14ac:dyDescent="0.2">
      <c r="A803" s="57"/>
      <c r="B803" s="69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O803" s="69"/>
      <c r="P803" s="57"/>
    </row>
    <row r="804" spans="1:16" x14ac:dyDescent="0.2">
      <c r="A804" s="57"/>
      <c r="B804" s="69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O804" s="69"/>
      <c r="P804" s="57"/>
    </row>
    <row r="805" spans="1:16" x14ac:dyDescent="0.2">
      <c r="A805" s="57"/>
      <c r="B805" s="69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O805" s="69"/>
      <c r="P805" s="57"/>
    </row>
    <row r="806" spans="1:16" x14ac:dyDescent="0.2">
      <c r="A806" s="57"/>
      <c r="B806" s="69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O806" s="69"/>
      <c r="P806" s="57"/>
    </row>
    <row r="807" spans="1:16" x14ac:dyDescent="0.2">
      <c r="A807" s="57"/>
      <c r="B807" s="69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O807" s="69"/>
      <c r="P807" s="57"/>
    </row>
    <row r="808" spans="1:16" x14ac:dyDescent="0.2">
      <c r="A808" s="57"/>
      <c r="B808" s="69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O808" s="69"/>
      <c r="P808" s="57"/>
    </row>
    <row r="809" spans="1:16" x14ac:dyDescent="0.2">
      <c r="A809" s="57"/>
      <c r="B809" s="69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O809" s="69"/>
      <c r="P809" s="57"/>
    </row>
    <row r="810" spans="1:16" x14ac:dyDescent="0.2">
      <c r="A810" s="57"/>
      <c r="B810" s="69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O810" s="69"/>
      <c r="P810" s="57"/>
    </row>
    <row r="811" spans="1:16" x14ac:dyDescent="0.2">
      <c r="A811" s="57"/>
      <c r="B811" s="69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O811" s="69"/>
      <c r="P811" s="57"/>
    </row>
    <row r="812" spans="1:16" x14ac:dyDescent="0.2">
      <c r="A812" s="57"/>
      <c r="B812" s="69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O812" s="69"/>
      <c r="P812" s="57"/>
    </row>
    <row r="813" spans="1:16" x14ac:dyDescent="0.2">
      <c r="A813" s="57"/>
      <c r="B813" s="69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O813" s="69"/>
      <c r="P813" s="57"/>
    </row>
    <row r="814" spans="1:16" x14ac:dyDescent="0.2">
      <c r="A814" s="57"/>
      <c r="B814" s="69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O814" s="69"/>
      <c r="P814" s="57"/>
    </row>
    <row r="815" spans="1:16" x14ac:dyDescent="0.2">
      <c r="A815" s="57"/>
      <c r="B815" s="69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O815" s="69"/>
      <c r="P815" s="57"/>
    </row>
    <row r="816" spans="1:16" x14ac:dyDescent="0.2">
      <c r="A816" s="57"/>
      <c r="B816" s="69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O816" s="69"/>
      <c r="P816" s="57"/>
    </row>
    <row r="817" spans="1:16" x14ac:dyDescent="0.2">
      <c r="A817" s="57"/>
      <c r="B817" s="69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O817" s="69"/>
      <c r="P817" s="57"/>
    </row>
    <row r="818" spans="1:16" x14ac:dyDescent="0.2">
      <c r="A818" s="57"/>
      <c r="B818" s="69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O818" s="69"/>
      <c r="P818" s="57"/>
    </row>
    <row r="819" spans="1:16" x14ac:dyDescent="0.2">
      <c r="A819" s="57"/>
      <c r="B819" s="69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O819" s="69"/>
      <c r="P819" s="57"/>
    </row>
    <row r="820" spans="1:16" x14ac:dyDescent="0.2">
      <c r="A820" s="57"/>
      <c r="B820" s="69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O820" s="69"/>
      <c r="P820" s="57"/>
    </row>
    <row r="821" spans="1:16" x14ac:dyDescent="0.2">
      <c r="A821" s="57"/>
      <c r="B821" s="69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O821" s="69"/>
      <c r="P821" s="57"/>
    </row>
    <row r="822" spans="1:16" x14ac:dyDescent="0.2">
      <c r="A822" s="57"/>
      <c r="B822" s="69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O822" s="69"/>
      <c r="P822" s="57"/>
    </row>
    <row r="823" spans="1:16" x14ac:dyDescent="0.2">
      <c r="A823" s="57"/>
      <c r="B823" s="69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O823" s="69"/>
      <c r="P823" s="57"/>
    </row>
    <row r="824" spans="1:16" x14ac:dyDescent="0.2">
      <c r="A824" s="57"/>
      <c r="B824" s="69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O824" s="69"/>
      <c r="P824" s="57"/>
    </row>
    <row r="825" spans="1:16" x14ac:dyDescent="0.2">
      <c r="A825" s="57"/>
      <c r="B825" s="69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O825" s="69"/>
      <c r="P825" s="57"/>
    </row>
    <row r="826" spans="1:16" x14ac:dyDescent="0.2">
      <c r="A826" s="57"/>
      <c r="B826" s="69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O826" s="69"/>
      <c r="P826" s="57"/>
    </row>
    <row r="827" spans="1:16" x14ac:dyDescent="0.2">
      <c r="A827" s="57"/>
      <c r="B827" s="69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O827" s="69"/>
      <c r="P827" s="57"/>
    </row>
    <row r="828" spans="1:16" x14ac:dyDescent="0.2">
      <c r="A828" s="57"/>
      <c r="B828" s="69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O828" s="69"/>
      <c r="P828" s="57"/>
    </row>
    <row r="829" spans="1:16" x14ac:dyDescent="0.2">
      <c r="A829" s="57"/>
      <c r="B829" s="69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O829" s="69"/>
      <c r="P829" s="57"/>
    </row>
    <row r="830" spans="1:16" x14ac:dyDescent="0.2">
      <c r="A830" s="57"/>
      <c r="B830" s="69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O830" s="69"/>
      <c r="P830" s="57"/>
    </row>
    <row r="831" spans="1:16" x14ac:dyDescent="0.2">
      <c r="A831" s="57"/>
      <c r="B831" s="69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O831" s="69"/>
      <c r="P831" s="57"/>
    </row>
    <row r="832" spans="1:16" x14ac:dyDescent="0.2">
      <c r="A832" s="57"/>
      <c r="B832" s="69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O832" s="69"/>
      <c r="P832" s="57"/>
    </row>
    <row r="833" spans="1:16" x14ac:dyDescent="0.2">
      <c r="A833" s="57"/>
      <c r="B833" s="69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O833" s="69"/>
      <c r="P833" s="57"/>
    </row>
    <row r="834" spans="1:16" x14ac:dyDescent="0.2">
      <c r="A834" s="57"/>
      <c r="B834" s="69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O834" s="69"/>
      <c r="P834" s="57"/>
    </row>
    <row r="835" spans="1:16" x14ac:dyDescent="0.2">
      <c r="A835" s="57"/>
      <c r="B835" s="69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O835" s="69"/>
      <c r="P835" s="57"/>
    </row>
    <row r="836" spans="1:16" x14ac:dyDescent="0.2">
      <c r="A836" s="57"/>
      <c r="B836" s="69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O836" s="69"/>
      <c r="P836" s="57"/>
    </row>
    <row r="837" spans="1:16" x14ac:dyDescent="0.2">
      <c r="A837" s="57"/>
      <c r="B837" s="69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O837" s="69"/>
      <c r="P837" s="57"/>
    </row>
    <row r="838" spans="1:16" x14ac:dyDescent="0.2">
      <c r="A838" s="57"/>
      <c r="B838" s="69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O838" s="69"/>
      <c r="P838" s="57"/>
    </row>
    <row r="839" spans="1:16" x14ac:dyDescent="0.2">
      <c r="A839" s="57"/>
      <c r="B839" s="69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O839" s="69"/>
      <c r="P839" s="57"/>
    </row>
    <row r="840" spans="1:16" x14ac:dyDescent="0.2">
      <c r="A840" s="57"/>
      <c r="B840" s="69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O840" s="69"/>
      <c r="P840" s="57"/>
    </row>
    <row r="841" spans="1:16" x14ac:dyDescent="0.2">
      <c r="A841" s="57"/>
      <c r="B841" s="69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O841" s="69"/>
      <c r="P841" s="57"/>
    </row>
    <row r="842" spans="1:16" x14ac:dyDescent="0.2">
      <c r="A842" s="57"/>
      <c r="B842" s="69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O842" s="69"/>
      <c r="P842" s="57"/>
    </row>
    <row r="843" spans="1:16" x14ac:dyDescent="0.2">
      <c r="A843" s="57"/>
      <c r="B843" s="69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O843" s="69"/>
      <c r="P843" s="57"/>
    </row>
    <row r="844" spans="1:16" x14ac:dyDescent="0.2">
      <c r="A844" s="57"/>
      <c r="B844" s="69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O844" s="69"/>
      <c r="P844" s="57"/>
    </row>
    <row r="845" spans="1:16" x14ac:dyDescent="0.2">
      <c r="A845" s="57"/>
      <c r="B845" s="69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O845" s="69"/>
      <c r="P845" s="57"/>
    </row>
    <row r="846" spans="1:16" x14ac:dyDescent="0.2">
      <c r="A846" s="57"/>
      <c r="B846" s="69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O846" s="69"/>
      <c r="P846" s="57"/>
    </row>
    <row r="847" spans="1:16" x14ac:dyDescent="0.2">
      <c r="A847" s="57"/>
      <c r="B847" s="69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O847" s="69"/>
      <c r="P847" s="57"/>
    </row>
    <row r="848" spans="1:16" x14ac:dyDescent="0.2">
      <c r="A848" s="57"/>
      <c r="B848" s="69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O848" s="69"/>
      <c r="P848" s="57"/>
    </row>
    <row r="849" spans="1:16" x14ac:dyDescent="0.2">
      <c r="A849" s="57"/>
      <c r="B849" s="69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O849" s="69"/>
      <c r="P849" s="57"/>
    </row>
    <row r="850" spans="1:16" x14ac:dyDescent="0.2">
      <c r="A850" s="57"/>
      <c r="B850" s="69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O850" s="69"/>
      <c r="P850" s="57"/>
    </row>
    <row r="851" spans="1:16" x14ac:dyDescent="0.2">
      <c r="A851" s="57"/>
      <c r="B851" s="69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O851" s="69"/>
      <c r="P851" s="57"/>
    </row>
    <row r="852" spans="1:16" x14ac:dyDescent="0.2">
      <c r="A852" s="57"/>
      <c r="B852" s="69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O852" s="69"/>
      <c r="P852" s="57"/>
    </row>
    <row r="853" spans="1:16" x14ac:dyDescent="0.2">
      <c r="A853" s="57"/>
      <c r="B853" s="69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O853" s="69"/>
      <c r="P853" s="57"/>
    </row>
    <row r="854" spans="1:16" x14ac:dyDescent="0.2">
      <c r="A854" s="57"/>
      <c r="B854" s="69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O854" s="69"/>
      <c r="P854" s="57"/>
    </row>
    <row r="855" spans="1:16" x14ac:dyDescent="0.2">
      <c r="A855" s="57"/>
      <c r="B855" s="69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O855" s="69"/>
      <c r="P855" s="57"/>
    </row>
    <row r="856" spans="1:16" x14ac:dyDescent="0.2">
      <c r="A856" s="57"/>
      <c r="B856" s="69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O856" s="69"/>
      <c r="P856" s="57"/>
    </row>
    <row r="857" spans="1:16" x14ac:dyDescent="0.2">
      <c r="A857" s="57"/>
      <c r="B857" s="69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O857" s="69"/>
      <c r="P857" s="57"/>
    </row>
    <row r="858" spans="1:16" x14ac:dyDescent="0.2">
      <c r="A858" s="57"/>
      <c r="B858" s="69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O858" s="69"/>
      <c r="P858" s="57"/>
    </row>
    <row r="859" spans="1:16" x14ac:dyDescent="0.2">
      <c r="A859" s="57"/>
      <c r="B859" s="69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O859" s="69"/>
      <c r="P859" s="57"/>
    </row>
    <row r="860" spans="1:16" x14ac:dyDescent="0.2">
      <c r="A860" s="57"/>
      <c r="B860" s="69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O860" s="69"/>
      <c r="P860" s="57"/>
    </row>
    <row r="861" spans="1:16" x14ac:dyDescent="0.2">
      <c r="A861" s="57"/>
      <c r="B861" s="69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O861" s="69"/>
      <c r="P861" s="57"/>
    </row>
    <row r="862" spans="1:16" x14ac:dyDescent="0.2">
      <c r="A862" s="57"/>
      <c r="B862" s="69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O862" s="69"/>
      <c r="P862" s="57"/>
    </row>
    <row r="863" spans="1:16" x14ac:dyDescent="0.2">
      <c r="A863" s="57"/>
      <c r="B863" s="69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O863" s="69"/>
      <c r="P863" s="57"/>
    </row>
    <row r="864" spans="1:16" x14ac:dyDescent="0.2">
      <c r="A864" s="57"/>
      <c r="B864" s="69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O864" s="69"/>
      <c r="P864" s="57"/>
    </row>
    <row r="865" spans="1:16" x14ac:dyDescent="0.2">
      <c r="A865" s="57"/>
      <c r="B865" s="69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O865" s="69"/>
      <c r="P865" s="57"/>
    </row>
    <row r="866" spans="1:16" x14ac:dyDescent="0.2">
      <c r="A866" s="57"/>
      <c r="B866" s="69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O866" s="69"/>
      <c r="P866" s="57"/>
    </row>
    <row r="867" spans="1:16" x14ac:dyDescent="0.2">
      <c r="A867" s="57"/>
      <c r="B867" s="69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O867" s="69"/>
      <c r="P867" s="57"/>
    </row>
    <row r="868" spans="1:16" x14ac:dyDescent="0.2">
      <c r="A868" s="57"/>
      <c r="B868" s="69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O868" s="69"/>
      <c r="P868" s="57"/>
    </row>
    <row r="869" spans="1:16" x14ac:dyDescent="0.2">
      <c r="A869" s="57"/>
      <c r="B869" s="69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O869" s="69"/>
      <c r="P869" s="57"/>
    </row>
    <row r="870" spans="1:16" x14ac:dyDescent="0.2">
      <c r="A870" s="57"/>
      <c r="B870" s="69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O870" s="69"/>
      <c r="P870" s="57"/>
    </row>
    <row r="871" spans="1:16" x14ac:dyDescent="0.2">
      <c r="A871" s="57"/>
      <c r="B871" s="69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O871" s="69"/>
      <c r="P871" s="57"/>
    </row>
    <row r="872" spans="1:16" x14ac:dyDescent="0.2">
      <c r="A872" s="57"/>
      <c r="B872" s="69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O872" s="69"/>
      <c r="P872" s="57"/>
    </row>
    <row r="873" spans="1:16" x14ac:dyDescent="0.2">
      <c r="A873" s="57"/>
      <c r="B873" s="69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O873" s="69"/>
      <c r="P873" s="57"/>
    </row>
    <row r="874" spans="1:16" x14ac:dyDescent="0.2">
      <c r="A874" s="57"/>
      <c r="B874" s="69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O874" s="69"/>
      <c r="P874" s="57"/>
    </row>
    <row r="875" spans="1:16" x14ac:dyDescent="0.2">
      <c r="A875" s="57"/>
      <c r="B875" s="69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O875" s="69"/>
      <c r="P875" s="57"/>
    </row>
    <row r="876" spans="1:16" x14ac:dyDescent="0.2">
      <c r="A876" s="57"/>
      <c r="B876" s="69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O876" s="69"/>
      <c r="P876" s="57"/>
    </row>
    <row r="877" spans="1:16" x14ac:dyDescent="0.2">
      <c r="A877" s="57"/>
      <c r="B877" s="69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O877" s="69"/>
      <c r="P877" s="57"/>
    </row>
    <row r="878" spans="1:16" x14ac:dyDescent="0.2">
      <c r="A878" s="57"/>
      <c r="B878" s="69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O878" s="69"/>
      <c r="P878" s="57"/>
    </row>
    <row r="879" spans="1:16" x14ac:dyDescent="0.2">
      <c r="A879" s="57"/>
      <c r="B879" s="69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O879" s="69"/>
      <c r="P879" s="57"/>
    </row>
    <row r="880" spans="1:16" x14ac:dyDescent="0.2">
      <c r="A880" s="57"/>
      <c r="B880" s="69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O880" s="69"/>
      <c r="P880" s="57"/>
    </row>
    <row r="881" spans="1:16" x14ac:dyDescent="0.2">
      <c r="A881" s="57"/>
      <c r="B881" s="69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O881" s="69"/>
      <c r="P881" s="57"/>
    </row>
    <row r="882" spans="1:16" x14ac:dyDescent="0.2">
      <c r="A882" s="57"/>
      <c r="B882" s="69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O882" s="69"/>
      <c r="P882" s="57"/>
    </row>
    <row r="883" spans="1:16" x14ac:dyDescent="0.2">
      <c r="A883" s="57"/>
      <c r="B883" s="69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O883" s="69"/>
      <c r="P883" s="57"/>
    </row>
    <row r="884" spans="1:16" x14ac:dyDescent="0.2">
      <c r="A884" s="57"/>
      <c r="B884" s="69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O884" s="69"/>
      <c r="P884" s="57"/>
    </row>
    <row r="885" spans="1:16" x14ac:dyDescent="0.2">
      <c r="A885" s="57"/>
      <c r="B885" s="69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O885" s="69"/>
      <c r="P885" s="57"/>
    </row>
    <row r="886" spans="1:16" x14ac:dyDescent="0.2">
      <c r="A886" s="57"/>
      <c r="B886" s="69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O886" s="69"/>
      <c r="P886" s="57"/>
    </row>
    <row r="887" spans="1:16" x14ac:dyDescent="0.2">
      <c r="A887" s="57"/>
      <c r="B887" s="69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O887" s="69"/>
      <c r="P887" s="57"/>
    </row>
    <row r="888" spans="1:16" x14ac:dyDescent="0.2">
      <c r="A888" s="57"/>
      <c r="B888" s="69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O888" s="69"/>
      <c r="P888" s="57"/>
    </row>
    <row r="889" spans="1:16" x14ac:dyDescent="0.2">
      <c r="A889" s="57"/>
      <c r="B889" s="69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O889" s="69"/>
      <c r="P889" s="57"/>
    </row>
    <row r="890" spans="1:16" x14ac:dyDescent="0.2">
      <c r="A890" s="57"/>
      <c r="B890" s="69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O890" s="69"/>
      <c r="P890" s="57"/>
    </row>
    <row r="891" spans="1:16" x14ac:dyDescent="0.2">
      <c r="A891" s="57"/>
      <c r="B891" s="69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O891" s="69"/>
      <c r="P891" s="57"/>
    </row>
    <row r="892" spans="1:16" x14ac:dyDescent="0.2">
      <c r="A892" s="57"/>
      <c r="B892" s="69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O892" s="69"/>
      <c r="P892" s="57"/>
    </row>
    <row r="893" spans="1:16" x14ac:dyDescent="0.2">
      <c r="A893" s="57"/>
      <c r="B893" s="69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O893" s="69"/>
      <c r="P893" s="57"/>
    </row>
    <row r="894" spans="1:16" x14ac:dyDescent="0.2">
      <c r="A894" s="57"/>
      <c r="B894" s="69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O894" s="69"/>
      <c r="P894" s="57"/>
    </row>
    <row r="895" spans="1:16" x14ac:dyDescent="0.2">
      <c r="A895" s="57"/>
      <c r="B895" s="69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O895" s="69"/>
      <c r="P895" s="57"/>
    </row>
    <row r="896" spans="1:16" x14ac:dyDescent="0.2">
      <c r="A896" s="57"/>
      <c r="B896" s="69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O896" s="69"/>
      <c r="P896" s="57"/>
    </row>
    <row r="897" spans="1:16" x14ac:dyDescent="0.2">
      <c r="A897" s="57"/>
      <c r="B897" s="69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O897" s="69"/>
      <c r="P897" s="57"/>
    </row>
    <row r="898" spans="1:16" x14ac:dyDescent="0.2">
      <c r="A898" s="57"/>
      <c r="B898" s="69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O898" s="69"/>
      <c r="P898" s="57"/>
    </row>
    <row r="899" spans="1:16" x14ac:dyDescent="0.2">
      <c r="A899" s="57"/>
      <c r="B899" s="69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O899" s="69"/>
      <c r="P899" s="57"/>
    </row>
    <row r="900" spans="1:16" x14ac:dyDescent="0.2">
      <c r="A900" s="57"/>
      <c r="B900" s="69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O900" s="69"/>
      <c r="P900" s="57"/>
    </row>
    <row r="901" spans="1:16" x14ac:dyDescent="0.2">
      <c r="A901" s="57"/>
      <c r="B901" s="69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O901" s="69"/>
      <c r="P901" s="57"/>
    </row>
    <row r="902" spans="1:16" x14ac:dyDescent="0.2">
      <c r="A902" s="57"/>
      <c r="B902" s="69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O902" s="69"/>
      <c r="P902" s="57"/>
    </row>
    <row r="903" spans="1:16" x14ac:dyDescent="0.2">
      <c r="A903" s="57"/>
      <c r="B903" s="69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O903" s="69"/>
      <c r="P903" s="57"/>
    </row>
    <row r="904" spans="1:16" x14ac:dyDescent="0.2">
      <c r="A904" s="57"/>
      <c r="B904" s="69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O904" s="69"/>
      <c r="P904" s="57"/>
    </row>
    <row r="905" spans="1:16" x14ac:dyDescent="0.2">
      <c r="A905" s="57"/>
      <c r="B905" s="69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O905" s="69"/>
      <c r="P905" s="57"/>
    </row>
    <row r="906" spans="1:16" x14ac:dyDescent="0.2">
      <c r="A906" s="57"/>
      <c r="B906" s="69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O906" s="69"/>
      <c r="P906" s="57"/>
    </row>
    <row r="907" spans="1:16" x14ac:dyDescent="0.2">
      <c r="A907" s="57"/>
      <c r="B907" s="69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O907" s="69"/>
      <c r="P907" s="57"/>
    </row>
    <row r="908" spans="1:16" x14ac:dyDescent="0.2">
      <c r="A908" s="57"/>
      <c r="B908" s="69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O908" s="69"/>
      <c r="P908" s="57"/>
    </row>
    <row r="909" spans="1:16" x14ac:dyDescent="0.2">
      <c r="A909" s="57"/>
      <c r="B909" s="69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O909" s="69"/>
      <c r="P909" s="57"/>
    </row>
    <row r="910" spans="1:16" x14ac:dyDescent="0.2">
      <c r="A910" s="57"/>
      <c r="B910" s="69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O910" s="69"/>
      <c r="P910" s="57"/>
    </row>
    <row r="911" spans="1:16" x14ac:dyDescent="0.2">
      <c r="A911" s="57"/>
      <c r="B911" s="69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O911" s="69"/>
      <c r="P911" s="57"/>
    </row>
    <row r="912" spans="1:16" x14ac:dyDescent="0.2">
      <c r="A912" s="57"/>
      <c r="B912" s="69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O912" s="69"/>
      <c r="P912" s="57"/>
    </row>
    <row r="913" spans="1:16" x14ac:dyDescent="0.2">
      <c r="A913" s="57"/>
      <c r="B913" s="69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O913" s="69"/>
      <c r="P913" s="57"/>
    </row>
    <row r="914" spans="1:16" x14ac:dyDescent="0.2">
      <c r="A914" s="57"/>
      <c r="B914" s="69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O914" s="69"/>
      <c r="P914" s="57"/>
    </row>
    <row r="915" spans="1:16" x14ac:dyDescent="0.2">
      <c r="A915" s="57"/>
      <c r="B915" s="69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O915" s="69"/>
      <c r="P915" s="57"/>
    </row>
    <row r="916" spans="1:16" x14ac:dyDescent="0.2">
      <c r="A916" s="57"/>
      <c r="B916" s="69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O916" s="69"/>
      <c r="P916" s="57"/>
    </row>
    <row r="917" spans="1:16" x14ac:dyDescent="0.2">
      <c r="A917" s="57"/>
      <c r="B917" s="69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O917" s="69"/>
      <c r="P917" s="57"/>
    </row>
    <row r="918" spans="1:16" x14ac:dyDescent="0.2">
      <c r="A918" s="57"/>
      <c r="B918" s="69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O918" s="69"/>
      <c r="P918" s="57"/>
    </row>
    <row r="919" spans="1:16" x14ac:dyDescent="0.2">
      <c r="A919" s="57"/>
      <c r="B919" s="69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O919" s="69"/>
      <c r="P919" s="57"/>
    </row>
    <row r="920" spans="1:16" x14ac:dyDescent="0.2">
      <c r="A920" s="57"/>
      <c r="B920" s="69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O920" s="69"/>
      <c r="P920" s="57"/>
    </row>
    <row r="921" spans="1:16" x14ac:dyDescent="0.2">
      <c r="A921" s="57"/>
      <c r="B921" s="69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O921" s="69"/>
      <c r="P921" s="57"/>
    </row>
    <row r="922" spans="1:16" x14ac:dyDescent="0.2">
      <c r="A922" s="57"/>
      <c r="B922" s="69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O922" s="69"/>
      <c r="P922" s="57"/>
    </row>
    <row r="923" spans="1:16" x14ac:dyDescent="0.2">
      <c r="A923" s="57"/>
      <c r="B923" s="69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O923" s="69"/>
      <c r="P923" s="57"/>
    </row>
    <row r="924" spans="1:16" x14ac:dyDescent="0.2">
      <c r="A924" s="57"/>
      <c r="B924" s="69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O924" s="69"/>
      <c r="P924" s="57"/>
    </row>
    <row r="925" spans="1:16" x14ac:dyDescent="0.2">
      <c r="A925" s="57"/>
      <c r="B925" s="69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O925" s="69"/>
      <c r="P925" s="57"/>
    </row>
    <row r="926" spans="1:16" x14ac:dyDescent="0.2">
      <c r="A926" s="57"/>
      <c r="B926" s="69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O926" s="69"/>
      <c r="P926" s="57"/>
    </row>
    <row r="927" spans="1:16" x14ac:dyDescent="0.2">
      <c r="A927" s="57"/>
      <c r="B927" s="69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O927" s="69"/>
      <c r="P927" s="57"/>
    </row>
    <row r="928" spans="1:16" x14ac:dyDescent="0.2">
      <c r="A928" s="57"/>
      <c r="B928" s="69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O928" s="69"/>
      <c r="P928" s="57"/>
    </row>
    <row r="929" spans="1:16" x14ac:dyDescent="0.2">
      <c r="A929" s="57"/>
      <c r="B929" s="69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O929" s="69"/>
      <c r="P929" s="57"/>
    </row>
    <row r="930" spans="1:16" x14ac:dyDescent="0.2">
      <c r="A930" s="57"/>
      <c r="B930" s="69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O930" s="69"/>
      <c r="P930" s="57"/>
    </row>
    <row r="931" spans="1:16" x14ac:dyDescent="0.2">
      <c r="A931" s="57"/>
      <c r="B931" s="69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O931" s="69"/>
      <c r="P931" s="57"/>
    </row>
    <row r="932" spans="1:16" x14ac:dyDescent="0.2">
      <c r="A932" s="57"/>
      <c r="B932" s="69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O932" s="69"/>
      <c r="P932" s="57"/>
    </row>
    <row r="933" spans="1:16" x14ac:dyDescent="0.2">
      <c r="A933" s="57"/>
      <c r="B933" s="69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O933" s="69"/>
      <c r="P933" s="57"/>
    </row>
    <row r="934" spans="1:16" x14ac:dyDescent="0.2">
      <c r="A934" s="57"/>
      <c r="B934" s="69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O934" s="69"/>
      <c r="P934" s="57"/>
    </row>
    <row r="935" spans="1:16" x14ac:dyDescent="0.2">
      <c r="A935" s="57"/>
      <c r="B935" s="69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O935" s="69"/>
      <c r="P935" s="57"/>
    </row>
    <row r="936" spans="1:16" x14ac:dyDescent="0.2">
      <c r="A936" s="57"/>
      <c r="B936" s="69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O936" s="69"/>
      <c r="P936" s="57"/>
    </row>
    <row r="937" spans="1:16" x14ac:dyDescent="0.2">
      <c r="A937" s="57"/>
      <c r="B937" s="69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O937" s="69"/>
      <c r="P937" s="57"/>
    </row>
    <row r="938" spans="1:16" x14ac:dyDescent="0.2">
      <c r="A938" s="57"/>
      <c r="B938" s="69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O938" s="69"/>
      <c r="P938" s="57"/>
    </row>
    <row r="939" spans="1:16" x14ac:dyDescent="0.2">
      <c r="A939" s="57"/>
      <c r="B939" s="69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O939" s="69"/>
      <c r="P939" s="57"/>
    </row>
    <row r="940" spans="1:16" x14ac:dyDescent="0.2">
      <c r="A940" s="57"/>
      <c r="B940" s="69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O940" s="69"/>
      <c r="P940" s="57"/>
    </row>
    <row r="941" spans="1:16" x14ac:dyDescent="0.2">
      <c r="A941" s="57"/>
      <c r="B941" s="69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O941" s="69"/>
      <c r="P941" s="57"/>
    </row>
    <row r="942" spans="1:16" x14ac:dyDescent="0.2">
      <c r="A942" s="57"/>
      <c r="B942" s="69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O942" s="69"/>
      <c r="P942" s="57"/>
    </row>
    <row r="943" spans="1:16" x14ac:dyDescent="0.2">
      <c r="A943" s="57"/>
      <c r="B943" s="69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O943" s="69"/>
      <c r="P943" s="57"/>
    </row>
    <row r="944" spans="1:16" x14ac:dyDescent="0.2">
      <c r="A944" s="57"/>
      <c r="B944" s="69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O944" s="69"/>
      <c r="P944" s="57"/>
    </row>
    <row r="945" spans="1:16" x14ac:dyDescent="0.2">
      <c r="A945" s="57"/>
      <c r="B945" s="69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O945" s="69"/>
      <c r="P945" s="57"/>
    </row>
    <row r="946" spans="1:16" x14ac:dyDescent="0.2">
      <c r="A946" s="57"/>
      <c r="B946" s="69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O946" s="69"/>
      <c r="P946" s="57"/>
    </row>
    <row r="947" spans="1:16" x14ac:dyDescent="0.2">
      <c r="A947" s="57"/>
      <c r="B947" s="69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O947" s="69"/>
      <c r="P947" s="57"/>
    </row>
    <row r="948" spans="1:16" x14ac:dyDescent="0.2">
      <c r="A948" s="57"/>
      <c r="B948" s="69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O948" s="69"/>
      <c r="P948" s="57"/>
    </row>
    <row r="949" spans="1:16" x14ac:dyDescent="0.2">
      <c r="A949" s="57"/>
      <c r="B949" s="69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O949" s="69"/>
      <c r="P949" s="57"/>
    </row>
    <row r="950" spans="1:16" x14ac:dyDescent="0.2">
      <c r="A950" s="57"/>
      <c r="B950" s="69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O950" s="69"/>
      <c r="P950" s="57"/>
    </row>
    <row r="951" spans="1:16" x14ac:dyDescent="0.2">
      <c r="A951" s="57"/>
      <c r="B951" s="69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O951" s="69"/>
      <c r="P951" s="57"/>
    </row>
    <row r="952" spans="1:16" x14ac:dyDescent="0.2">
      <c r="A952" s="57"/>
      <c r="B952" s="69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O952" s="69"/>
      <c r="P952" s="57"/>
    </row>
    <row r="953" spans="1:16" x14ac:dyDescent="0.2">
      <c r="A953" s="57"/>
      <c r="B953" s="69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O953" s="69"/>
      <c r="P953" s="57"/>
    </row>
    <row r="954" spans="1:16" x14ac:dyDescent="0.2">
      <c r="A954" s="57"/>
      <c r="B954" s="69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O954" s="69"/>
      <c r="P954" s="57"/>
    </row>
    <row r="955" spans="1:16" x14ac:dyDescent="0.2">
      <c r="A955" s="57"/>
      <c r="B955" s="69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O955" s="69"/>
      <c r="P955" s="57"/>
    </row>
    <row r="956" spans="1:16" x14ac:dyDescent="0.2">
      <c r="A956" s="57"/>
      <c r="B956" s="69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O956" s="69"/>
      <c r="P956" s="57"/>
    </row>
    <row r="957" spans="1:16" x14ac:dyDescent="0.2">
      <c r="A957" s="57"/>
      <c r="B957" s="69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O957" s="69"/>
      <c r="P957" s="57"/>
    </row>
    <row r="958" spans="1:16" x14ac:dyDescent="0.2">
      <c r="A958" s="57"/>
      <c r="B958" s="69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O958" s="69"/>
      <c r="P958" s="57"/>
    </row>
    <row r="959" spans="1:16" x14ac:dyDescent="0.2">
      <c r="A959" s="57"/>
      <c r="B959" s="69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O959" s="69"/>
      <c r="P959" s="57"/>
    </row>
    <row r="960" spans="1:16" x14ac:dyDescent="0.2">
      <c r="A960" s="57"/>
      <c r="B960" s="69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O960" s="69"/>
      <c r="P960" s="57"/>
    </row>
    <row r="961" spans="1:16" x14ac:dyDescent="0.2">
      <c r="A961" s="57"/>
      <c r="B961" s="69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O961" s="69"/>
      <c r="P961" s="57"/>
    </row>
    <row r="962" spans="1:16" x14ac:dyDescent="0.2">
      <c r="A962" s="57"/>
      <c r="B962" s="69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O962" s="69"/>
      <c r="P962" s="57"/>
    </row>
    <row r="963" spans="1:16" x14ac:dyDescent="0.2">
      <c r="A963" s="57"/>
      <c r="B963" s="69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O963" s="69"/>
      <c r="P963" s="57"/>
    </row>
    <row r="964" spans="1:16" x14ac:dyDescent="0.2">
      <c r="A964" s="57"/>
      <c r="B964" s="69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O964" s="69"/>
      <c r="P964" s="57"/>
    </row>
    <row r="965" spans="1:16" x14ac:dyDescent="0.2">
      <c r="A965" s="57"/>
      <c r="B965" s="69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O965" s="69"/>
      <c r="P965" s="57"/>
    </row>
    <row r="966" spans="1:16" x14ac:dyDescent="0.2">
      <c r="A966" s="57"/>
      <c r="B966" s="69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O966" s="69"/>
      <c r="P966" s="57"/>
    </row>
    <row r="967" spans="1:16" x14ac:dyDescent="0.2">
      <c r="A967" s="57"/>
      <c r="B967" s="69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O967" s="69"/>
      <c r="P967" s="57"/>
    </row>
    <row r="968" spans="1:16" x14ac:dyDescent="0.2">
      <c r="A968" s="57"/>
      <c r="B968" s="69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O968" s="69"/>
      <c r="P968" s="57"/>
    </row>
    <row r="969" spans="1:16" x14ac:dyDescent="0.2">
      <c r="A969" s="57"/>
      <c r="B969" s="69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O969" s="69"/>
      <c r="P969" s="57"/>
    </row>
    <row r="970" spans="1:16" x14ac:dyDescent="0.2">
      <c r="A970" s="57"/>
      <c r="B970" s="69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O970" s="69"/>
      <c r="P970" s="57"/>
    </row>
    <row r="971" spans="1:16" x14ac:dyDescent="0.2">
      <c r="A971" s="57"/>
      <c r="B971" s="69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O971" s="69"/>
      <c r="P971" s="57"/>
    </row>
    <row r="972" spans="1:16" x14ac:dyDescent="0.2">
      <c r="A972" s="57"/>
      <c r="B972" s="69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O972" s="69"/>
      <c r="P972" s="57"/>
    </row>
    <row r="973" spans="1:16" x14ac:dyDescent="0.2">
      <c r="A973" s="57"/>
      <c r="B973" s="69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O973" s="69"/>
      <c r="P973" s="57"/>
    </row>
    <row r="974" spans="1:16" x14ac:dyDescent="0.2">
      <c r="A974" s="57"/>
      <c r="B974" s="69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O974" s="69"/>
      <c r="P974" s="57"/>
    </row>
    <row r="975" spans="1:16" x14ac:dyDescent="0.2">
      <c r="A975" s="57"/>
      <c r="B975" s="69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O975" s="69"/>
      <c r="P975" s="57"/>
    </row>
    <row r="976" spans="1:16" x14ac:dyDescent="0.2">
      <c r="A976" s="57"/>
      <c r="B976" s="69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O976" s="69"/>
      <c r="P976" s="57"/>
    </row>
    <row r="977" spans="1:16" x14ac:dyDescent="0.2">
      <c r="A977" s="57"/>
      <c r="B977" s="69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O977" s="69"/>
      <c r="P977" s="57"/>
    </row>
    <row r="978" spans="1:16" x14ac:dyDescent="0.2">
      <c r="A978" s="57"/>
      <c r="B978" s="69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O978" s="69"/>
      <c r="P978" s="57"/>
    </row>
    <row r="979" spans="1:16" x14ac:dyDescent="0.2">
      <c r="A979" s="57"/>
      <c r="B979" s="69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O979" s="69"/>
      <c r="P979" s="57"/>
    </row>
    <row r="980" spans="1:16" x14ac:dyDescent="0.2">
      <c r="A980" s="57"/>
      <c r="B980" s="69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O980" s="69"/>
      <c r="P980" s="57"/>
    </row>
    <row r="981" spans="1:16" x14ac:dyDescent="0.2">
      <c r="A981" s="57"/>
      <c r="B981" s="69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O981" s="69"/>
      <c r="P981" s="57"/>
    </row>
    <row r="982" spans="1:16" x14ac:dyDescent="0.2">
      <c r="A982" s="57"/>
      <c r="B982" s="69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O982" s="69"/>
      <c r="P982" s="57"/>
    </row>
    <row r="983" spans="1:16" x14ac:dyDescent="0.2">
      <c r="A983" s="57"/>
      <c r="B983" s="69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O983" s="69"/>
      <c r="P983" s="57"/>
    </row>
    <row r="984" spans="1:16" x14ac:dyDescent="0.2">
      <c r="A984" s="57"/>
      <c r="B984" s="69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O984" s="69"/>
      <c r="P984" s="57"/>
    </row>
    <row r="985" spans="1:16" x14ac:dyDescent="0.2">
      <c r="A985" s="57"/>
      <c r="B985" s="69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O985" s="69"/>
      <c r="P985" s="57"/>
    </row>
    <row r="986" spans="1:16" x14ac:dyDescent="0.2">
      <c r="A986" s="57"/>
      <c r="B986" s="69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O986" s="69"/>
      <c r="P986" s="57"/>
    </row>
    <row r="987" spans="1:16" x14ac:dyDescent="0.2">
      <c r="A987" s="57"/>
      <c r="B987" s="69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O987" s="69"/>
      <c r="P987" s="57"/>
    </row>
    <row r="988" spans="1:16" x14ac:dyDescent="0.2">
      <c r="A988" s="57"/>
      <c r="B988" s="69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O988" s="69"/>
      <c r="P988" s="57"/>
    </row>
    <row r="989" spans="1:16" x14ac:dyDescent="0.2">
      <c r="A989" s="57"/>
      <c r="B989" s="69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O989" s="69"/>
      <c r="P989" s="57"/>
    </row>
    <row r="990" spans="1:16" x14ac:dyDescent="0.2">
      <c r="A990" s="57"/>
      <c r="B990" s="69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O990" s="69"/>
      <c r="P990" s="57"/>
    </row>
    <row r="991" spans="1:16" x14ac:dyDescent="0.2">
      <c r="A991" s="57"/>
      <c r="B991" s="69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O991" s="69"/>
      <c r="P991" s="57"/>
    </row>
    <row r="992" spans="1:16" x14ac:dyDescent="0.2">
      <c r="A992" s="57"/>
      <c r="B992" s="69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O992" s="69"/>
      <c r="P992" s="57"/>
    </row>
    <row r="993" spans="1:16" x14ac:dyDescent="0.2">
      <c r="A993" s="57"/>
      <c r="B993" s="69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O993" s="69"/>
      <c r="P993" s="57"/>
    </row>
    <row r="994" spans="1:16" x14ac:dyDescent="0.2">
      <c r="A994" s="57"/>
      <c r="B994" s="69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O994" s="69"/>
      <c r="P994" s="57"/>
    </row>
    <row r="995" spans="1:16" x14ac:dyDescent="0.2">
      <c r="A995" s="57"/>
      <c r="B995" s="69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O995" s="69"/>
      <c r="P995" s="57"/>
    </row>
    <row r="996" spans="1:16" x14ac:dyDescent="0.2">
      <c r="A996" s="57"/>
      <c r="B996" s="69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O996" s="69"/>
      <c r="P996" s="57"/>
    </row>
    <row r="997" spans="1:16" x14ac:dyDescent="0.2">
      <c r="A997" s="57"/>
      <c r="B997" s="69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O997" s="69"/>
      <c r="P997" s="57"/>
    </row>
    <row r="998" spans="1:16" x14ac:dyDescent="0.2">
      <c r="A998" s="57"/>
      <c r="B998" s="69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O998" s="69"/>
      <c r="P998" s="57"/>
    </row>
    <row r="999" spans="1:16" x14ac:dyDescent="0.2">
      <c r="A999" s="57"/>
      <c r="B999" s="69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O999" s="69"/>
      <c r="P999" s="57"/>
    </row>
    <row r="1000" spans="1:16" x14ac:dyDescent="0.2">
      <c r="A1000" s="57"/>
      <c r="B1000" s="69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O1000" s="69"/>
      <c r="P1000" s="57"/>
    </row>
    <row r="1001" spans="1:16" x14ac:dyDescent="0.2">
      <c r="A1001" s="57"/>
      <c r="B1001" s="69"/>
      <c r="C1001" s="57"/>
      <c r="D1001" s="57"/>
      <c r="E1001" s="57"/>
      <c r="F1001" s="57"/>
      <c r="G1001" s="57"/>
      <c r="H1001" s="57"/>
      <c r="I1001" s="57"/>
      <c r="J1001" s="57"/>
      <c r="K1001" s="57"/>
      <c r="L1001" s="57"/>
      <c r="M1001" s="57"/>
      <c r="O1001" s="69"/>
      <c r="P1001" s="57"/>
    </row>
    <row r="1002" spans="1:16" x14ac:dyDescent="0.2">
      <c r="A1002" s="57"/>
      <c r="B1002" s="69"/>
      <c r="C1002" s="57"/>
      <c r="D1002" s="57"/>
      <c r="E1002" s="57"/>
      <c r="F1002" s="57"/>
      <c r="G1002" s="57"/>
      <c r="H1002" s="57"/>
      <c r="I1002" s="57"/>
      <c r="J1002" s="57"/>
      <c r="K1002" s="57"/>
      <c r="L1002" s="57"/>
      <c r="M1002" s="57"/>
      <c r="O1002" s="69"/>
      <c r="P1002" s="57"/>
    </row>
    <row r="1003" spans="1:16" x14ac:dyDescent="0.2">
      <c r="A1003" s="57"/>
      <c r="B1003" s="69"/>
      <c r="C1003" s="57"/>
      <c r="D1003" s="57"/>
      <c r="E1003" s="57"/>
      <c r="F1003" s="57"/>
      <c r="G1003" s="57"/>
      <c r="H1003" s="57"/>
      <c r="I1003" s="57"/>
      <c r="J1003" s="57"/>
      <c r="K1003" s="57"/>
      <c r="L1003" s="57"/>
      <c r="M1003" s="57"/>
      <c r="O1003" s="69"/>
      <c r="P1003" s="57"/>
    </row>
    <row r="1004" spans="1:16" x14ac:dyDescent="0.2">
      <c r="A1004" s="57"/>
      <c r="B1004" s="69"/>
      <c r="C1004" s="57"/>
      <c r="D1004" s="57"/>
      <c r="E1004" s="57"/>
      <c r="F1004" s="57"/>
      <c r="G1004" s="57"/>
      <c r="H1004" s="57"/>
      <c r="I1004" s="57"/>
      <c r="J1004" s="57"/>
      <c r="K1004" s="57"/>
      <c r="L1004" s="57"/>
      <c r="M1004" s="57"/>
      <c r="O1004" s="69"/>
      <c r="P1004" s="57"/>
    </row>
    <row r="1005" spans="1:16" x14ac:dyDescent="0.2">
      <c r="A1005" s="57"/>
      <c r="B1005" s="69"/>
      <c r="C1005" s="57"/>
      <c r="D1005" s="57"/>
      <c r="E1005" s="57"/>
      <c r="F1005" s="57"/>
      <c r="G1005" s="57"/>
      <c r="H1005" s="57"/>
      <c r="I1005" s="57"/>
      <c r="J1005" s="57"/>
      <c r="K1005" s="57"/>
      <c r="L1005" s="57"/>
      <c r="M1005" s="57"/>
      <c r="O1005" s="69"/>
      <c r="P1005" s="57"/>
    </row>
    <row r="1006" spans="1:16" x14ac:dyDescent="0.2">
      <c r="A1006" s="57"/>
      <c r="B1006" s="69"/>
      <c r="C1006" s="57"/>
      <c r="D1006" s="57"/>
      <c r="E1006" s="57"/>
      <c r="F1006" s="57"/>
      <c r="G1006" s="57"/>
      <c r="H1006" s="57"/>
      <c r="I1006" s="57"/>
      <c r="J1006" s="57"/>
      <c r="K1006" s="57"/>
      <c r="L1006" s="57"/>
      <c r="M1006" s="57"/>
      <c r="O1006" s="69"/>
      <c r="P1006" s="57"/>
    </row>
    <row r="1007" spans="1:16" x14ac:dyDescent="0.2">
      <c r="A1007" s="57"/>
      <c r="B1007" s="69"/>
      <c r="C1007" s="57"/>
      <c r="D1007" s="57"/>
      <c r="E1007" s="57"/>
      <c r="F1007" s="57"/>
      <c r="G1007" s="57"/>
      <c r="H1007" s="57"/>
      <c r="I1007" s="57"/>
      <c r="J1007" s="57"/>
      <c r="K1007" s="57"/>
      <c r="L1007" s="57"/>
      <c r="M1007" s="57"/>
      <c r="O1007" s="69"/>
      <c r="P1007" s="57"/>
    </row>
    <row r="1008" spans="1:16" x14ac:dyDescent="0.2">
      <c r="A1008" s="57"/>
      <c r="B1008" s="69"/>
      <c r="C1008" s="57"/>
      <c r="D1008" s="57"/>
      <c r="E1008" s="57"/>
      <c r="F1008" s="57"/>
      <c r="G1008" s="57"/>
      <c r="H1008" s="57"/>
      <c r="I1008" s="57"/>
      <c r="J1008" s="57"/>
      <c r="K1008" s="57"/>
      <c r="L1008" s="57"/>
      <c r="M1008" s="57"/>
      <c r="O1008" s="69"/>
      <c r="P1008" s="57"/>
    </row>
    <row r="1009" spans="1:16" x14ac:dyDescent="0.2">
      <c r="A1009" s="57"/>
      <c r="B1009" s="69"/>
      <c r="C1009" s="57"/>
      <c r="D1009" s="57"/>
      <c r="E1009" s="57"/>
      <c r="F1009" s="57"/>
      <c r="G1009" s="57"/>
      <c r="H1009" s="57"/>
      <c r="I1009" s="57"/>
      <c r="J1009" s="57"/>
      <c r="K1009" s="57"/>
      <c r="L1009" s="57"/>
      <c r="M1009" s="57"/>
      <c r="O1009" s="69"/>
      <c r="P1009" s="57"/>
    </row>
    <row r="1010" spans="1:16" x14ac:dyDescent="0.2">
      <c r="A1010" s="57"/>
      <c r="B1010" s="69"/>
      <c r="C1010" s="57"/>
      <c r="D1010" s="57"/>
      <c r="E1010" s="57"/>
      <c r="F1010" s="57"/>
      <c r="G1010" s="57"/>
      <c r="H1010" s="57"/>
      <c r="I1010" s="57"/>
      <c r="J1010" s="57"/>
      <c r="K1010" s="57"/>
      <c r="L1010" s="57"/>
      <c r="M1010" s="57"/>
      <c r="O1010" s="69"/>
      <c r="P1010" s="57"/>
    </row>
    <row r="1011" spans="1:16" x14ac:dyDescent="0.2">
      <c r="A1011" s="57"/>
      <c r="B1011" s="69"/>
      <c r="C1011" s="57"/>
      <c r="D1011" s="57"/>
      <c r="E1011" s="57"/>
      <c r="F1011" s="57"/>
      <c r="G1011" s="57"/>
      <c r="H1011" s="57"/>
      <c r="I1011" s="57"/>
      <c r="J1011" s="57"/>
      <c r="K1011" s="57"/>
      <c r="L1011" s="57"/>
      <c r="M1011" s="57"/>
      <c r="O1011" s="69"/>
      <c r="P1011" s="57"/>
    </row>
    <row r="1012" spans="1:16" x14ac:dyDescent="0.2">
      <c r="A1012" s="57"/>
      <c r="B1012" s="69"/>
      <c r="C1012" s="57"/>
      <c r="D1012" s="57"/>
      <c r="E1012" s="57"/>
      <c r="F1012" s="57"/>
      <c r="G1012" s="57"/>
      <c r="H1012" s="57"/>
      <c r="I1012" s="57"/>
      <c r="J1012" s="57"/>
      <c r="K1012" s="57"/>
      <c r="L1012" s="57"/>
      <c r="M1012" s="57"/>
      <c r="O1012" s="69"/>
      <c r="P1012" s="57"/>
    </row>
    <row r="1013" spans="1:16" x14ac:dyDescent="0.2">
      <c r="A1013" s="57"/>
      <c r="B1013" s="69"/>
      <c r="C1013" s="57"/>
      <c r="D1013" s="57"/>
      <c r="E1013" s="57"/>
      <c r="F1013" s="57"/>
      <c r="G1013" s="57"/>
      <c r="H1013" s="57"/>
      <c r="I1013" s="57"/>
      <c r="J1013" s="57"/>
      <c r="K1013" s="57"/>
      <c r="L1013" s="57"/>
      <c r="M1013" s="57"/>
      <c r="O1013" s="69"/>
      <c r="P1013" s="57"/>
    </row>
    <row r="1014" spans="1:16" x14ac:dyDescent="0.2">
      <c r="A1014" s="57"/>
      <c r="B1014" s="69"/>
      <c r="C1014" s="57"/>
      <c r="D1014" s="57"/>
      <c r="E1014" s="57"/>
      <c r="F1014" s="57"/>
      <c r="G1014" s="57"/>
      <c r="H1014" s="57"/>
      <c r="I1014" s="57"/>
      <c r="J1014" s="57"/>
      <c r="K1014" s="57"/>
      <c r="L1014" s="57"/>
      <c r="M1014" s="57"/>
      <c r="O1014" s="69"/>
      <c r="P1014" s="57"/>
    </row>
    <row r="1015" spans="1:16" x14ac:dyDescent="0.2">
      <c r="A1015" s="57"/>
      <c r="B1015" s="69"/>
      <c r="C1015" s="57"/>
      <c r="D1015" s="57"/>
      <c r="E1015" s="57"/>
      <c r="F1015" s="57"/>
      <c r="G1015" s="57"/>
      <c r="H1015" s="57"/>
      <c r="I1015" s="57"/>
      <c r="J1015" s="57"/>
      <c r="K1015" s="57"/>
      <c r="L1015" s="57"/>
      <c r="M1015" s="57"/>
      <c r="O1015" s="69"/>
      <c r="P1015" s="57"/>
    </row>
    <row r="1016" spans="1:16" x14ac:dyDescent="0.2">
      <c r="A1016" s="57"/>
      <c r="B1016" s="69"/>
      <c r="C1016" s="57"/>
      <c r="D1016" s="57"/>
      <c r="E1016" s="57"/>
      <c r="F1016" s="57"/>
      <c r="G1016" s="57"/>
      <c r="H1016" s="57"/>
      <c r="I1016" s="57"/>
      <c r="J1016" s="57"/>
      <c r="K1016" s="57"/>
      <c r="L1016" s="57"/>
      <c r="M1016" s="57"/>
      <c r="O1016" s="69"/>
      <c r="P1016" s="57"/>
    </row>
    <row r="1017" spans="1:16" x14ac:dyDescent="0.2">
      <c r="A1017" s="57"/>
      <c r="B1017" s="69"/>
      <c r="C1017" s="57"/>
      <c r="D1017" s="57"/>
      <c r="E1017" s="57"/>
      <c r="F1017" s="57"/>
      <c r="G1017" s="57"/>
      <c r="H1017" s="57"/>
      <c r="I1017" s="57"/>
      <c r="J1017" s="57"/>
      <c r="K1017" s="57"/>
      <c r="L1017" s="57"/>
      <c r="M1017" s="57"/>
      <c r="O1017" s="69"/>
      <c r="P1017" s="57"/>
    </row>
    <row r="1018" spans="1:16" x14ac:dyDescent="0.2">
      <c r="A1018" s="57"/>
      <c r="B1018" s="69"/>
      <c r="C1018" s="57"/>
      <c r="D1018" s="57"/>
      <c r="E1018" s="57"/>
      <c r="F1018" s="57"/>
      <c r="G1018" s="57"/>
      <c r="H1018" s="57"/>
      <c r="I1018" s="57"/>
      <c r="J1018" s="57"/>
      <c r="K1018" s="57"/>
      <c r="L1018" s="57"/>
      <c r="M1018" s="57"/>
      <c r="O1018" s="69"/>
      <c r="P1018" s="57"/>
    </row>
    <row r="1019" spans="1:16" x14ac:dyDescent="0.2">
      <c r="A1019" s="57"/>
      <c r="B1019" s="69"/>
      <c r="C1019" s="57"/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  <c r="O1019" s="69"/>
      <c r="P1019" s="57"/>
    </row>
    <row r="1020" spans="1:16" x14ac:dyDescent="0.2">
      <c r="A1020" s="57"/>
      <c r="B1020" s="69"/>
      <c r="C1020" s="57"/>
      <c r="D1020" s="57"/>
      <c r="E1020" s="57"/>
      <c r="F1020" s="57"/>
      <c r="G1020" s="57"/>
      <c r="H1020" s="57"/>
      <c r="I1020" s="57"/>
      <c r="J1020" s="57"/>
      <c r="K1020" s="57"/>
      <c r="L1020" s="57"/>
      <c r="M1020" s="57"/>
      <c r="O1020" s="69"/>
      <c r="P1020" s="57"/>
    </row>
    <row r="1021" spans="1:16" x14ac:dyDescent="0.2">
      <c r="A1021" s="57"/>
      <c r="B1021" s="69"/>
      <c r="C1021" s="57"/>
      <c r="D1021" s="57"/>
      <c r="E1021" s="57"/>
      <c r="F1021" s="57"/>
      <c r="G1021" s="57"/>
      <c r="H1021" s="57"/>
      <c r="I1021" s="57"/>
      <c r="J1021" s="57"/>
      <c r="K1021" s="57"/>
      <c r="L1021" s="57"/>
      <c r="M1021" s="57"/>
      <c r="O1021" s="69"/>
      <c r="P1021" s="57"/>
    </row>
    <row r="1022" spans="1:16" x14ac:dyDescent="0.2">
      <c r="A1022" s="57"/>
      <c r="B1022" s="69"/>
      <c r="C1022" s="57"/>
      <c r="D1022" s="57"/>
      <c r="E1022" s="57"/>
      <c r="F1022" s="57"/>
      <c r="G1022" s="57"/>
      <c r="H1022" s="57"/>
      <c r="I1022" s="57"/>
      <c r="J1022" s="57"/>
      <c r="K1022" s="57"/>
      <c r="L1022" s="57"/>
      <c r="M1022" s="57"/>
      <c r="O1022" s="69"/>
      <c r="P1022" s="57"/>
    </row>
    <row r="1023" spans="1:16" x14ac:dyDescent="0.2">
      <c r="A1023" s="57"/>
      <c r="B1023" s="69"/>
      <c r="C1023" s="57"/>
      <c r="D1023" s="57"/>
      <c r="E1023" s="57"/>
      <c r="F1023" s="57"/>
      <c r="G1023" s="57"/>
      <c r="H1023" s="57"/>
      <c r="I1023" s="57"/>
      <c r="J1023" s="57"/>
      <c r="K1023" s="57"/>
      <c r="L1023" s="57"/>
      <c r="M1023" s="57"/>
      <c r="O1023" s="69"/>
      <c r="P1023" s="57"/>
    </row>
    <row r="1024" spans="1:16" x14ac:dyDescent="0.2">
      <c r="A1024" s="57"/>
      <c r="B1024" s="69"/>
      <c r="C1024" s="57"/>
      <c r="D1024" s="57"/>
      <c r="E1024" s="57"/>
      <c r="F1024" s="57"/>
      <c r="G1024" s="57"/>
      <c r="H1024" s="57"/>
      <c r="I1024" s="57"/>
      <c r="J1024" s="57"/>
      <c r="K1024" s="57"/>
      <c r="L1024" s="57"/>
      <c r="M1024" s="57"/>
      <c r="O1024" s="69"/>
      <c r="P1024" s="57"/>
    </row>
    <row r="1025" spans="1:16" x14ac:dyDescent="0.2">
      <c r="A1025" s="57"/>
      <c r="B1025" s="69"/>
      <c r="C1025" s="57"/>
      <c r="D1025" s="57"/>
      <c r="E1025" s="57"/>
      <c r="F1025" s="57"/>
      <c r="G1025" s="57"/>
      <c r="H1025" s="57"/>
      <c r="I1025" s="57"/>
      <c r="J1025" s="57"/>
      <c r="K1025" s="57"/>
      <c r="L1025" s="57"/>
      <c r="M1025" s="57"/>
      <c r="O1025" s="69"/>
      <c r="P1025" s="57"/>
    </row>
    <row r="1026" spans="1:16" x14ac:dyDescent="0.2">
      <c r="A1026" s="57"/>
      <c r="B1026" s="69"/>
      <c r="C1026" s="57"/>
      <c r="D1026" s="57"/>
      <c r="E1026" s="57"/>
      <c r="F1026" s="57"/>
      <c r="G1026" s="57"/>
      <c r="H1026" s="57"/>
      <c r="I1026" s="57"/>
      <c r="J1026" s="57"/>
      <c r="K1026" s="57"/>
      <c r="L1026" s="57"/>
      <c r="M1026" s="57"/>
      <c r="O1026" s="69"/>
      <c r="P1026" s="57"/>
    </row>
    <row r="1027" spans="1:16" x14ac:dyDescent="0.2">
      <c r="A1027" s="57"/>
      <c r="B1027" s="69"/>
      <c r="C1027" s="57"/>
      <c r="D1027" s="57"/>
      <c r="E1027" s="57"/>
      <c r="F1027" s="57"/>
      <c r="G1027" s="57"/>
      <c r="H1027" s="57"/>
      <c r="I1027" s="57"/>
      <c r="J1027" s="57"/>
      <c r="K1027" s="57"/>
      <c r="L1027" s="57"/>
      <c r="M1027" s="57"/>
      <c r="O1027" s="69"/>
      <c r="P1027" s="57"/>
    </row>
    <row r="1028" spans="1:16" x14ac:dyDescent="0.2">
      <c r="A1028" s="57"/>
      <c r="B1028" s="69"/>
      <c r="C1028" s="57"/>
      <c r="D1028" s="57"/>
      <c r="E1028" s="57"/>
      <c r="F1028" s="57"/>
      <c r="G1028" s="57"/>
      <c r="H1028" s="57"/>
      <c r="I1028" s="57"/>
      <c r="J1028" s="57"/>
      <c r="K1028" s="57"/>
      <c r="L1028" s="57"/>
      <c r="M1028" s="57"/>
      <c r="O1028" s="69"/>
      <c r="P1028" s="57"/>
    </row>
    <row r="1029" spans="1:16" x14ac:dyDescent="0.2">
      <c r="A1029" s="57"/>
      <c r="B1029" s="69"/>
      <c r="C1029" s="57"/>
      <c r="D1029" s="57"/>
      <c r="E1029" s="57"/>
      <c r="F1029" s="57"/>
      <c r="G1029" s="57"/>
      <c r="H1029" s="57"/>
      <c r="I1029" s="57"/>
      <c r="J1029" s="57"/>
      <c r="K1029" s="57"/>
      <c r="L1029" s="57"/>
      <c r="M1029" s="57"/>
      <c r="O1029" s="69"/>
      <c r="P1029" s="57"/>
    </row>
    <row r="1030" spans="1:16" x14ac:dyDescent="0.2">
      <c r="A1030" s="57"/>
      <c r="B1030" s="69"/>
      <c r="C1030" s="57"/>
      <c r="D1030" s="57"/>
      <c r="E1030" s="57"/>
      <c r="F1030" s="57"/>
      <c r="G1030" s="57"/>
      <c r="H1030" s="57"/>
      <c r="I1030" s="57"/>
      <c r="J1030" s="57"/>
      <c r="K1030" s="57"/>
      <c r="L1030" s="57"/>
      <c r="M1030" s="57"/>
      <c r="O1030" s="69"/>
      <c r="P1030" s="57"/>
    </row>
    <row r="1031" spans="1:16" x14ac:dyDescent="0.2">
      <c r="A1031" s="57"/>
      <c r="B1031" s="69"/>
      <c r="C1031" s="57"/>
      <c r="D1031" s="57"/>
      <c r="E1031" s="57"/>
      <c r="F1031" s="57"/>
      <c r="G1031" s="57"/>
      <c r="H1031" s="57"/>
      <c r="I1031" s="57"/>
      <c r="J1031" s="57"/>
      <c r="K1031" s="57"/>
      <c r="L1031" s="57"/>
      <c r="M1031" s="57"/>
      <c r="O1031" s="69"/>
      <c r="P1031" s="57"/>
    </row>
    <row r="1032" spans="1:16" x14ac:dyDescent="0.2">
      <c r="A1032" s="57"/>
      <c r="B1032" s="69"/>
      <c r="C1032" s="57"/>
      <c r="D1032" s="57"/>
      <c r="E1032" s="57"/>
      <c r="F1032" s="57"/>
      <c r="G1032" s="57"/>
      <c r="H1032" s="57"/>
      <c r="I1032" s="57"/>
      <c r="J1032" s="57"/>
      <c r="K1032" s="57"/>
      <c r="L1032" s="57"/>
      <c r="M1032" s="57"/>
      <c r="O1032" s="69"/>
      <c r="P1032" s="57"/>
    </row>
    <row r="1033" spans="1:16" x14ac:dyDescent="0.2">
      <c r="A1033" s="57"/>
      <c r="B1033" s="69"/>
      <c r="C1033" s="57"/>
      <c r="D1033" s="57"/>
      <c r="E1033" s="57"/>
      <c r="F1033" s="57"/>
      <c r="G1033" s="57"/>
      <c r="H1033" s="57"/>
      <c r="I1033" s="57"/>
      <c r="J1033" s="57"/>
      <c r="K1033" s="57"/>
      <c r="L1033" s="57"/>
      <c r="M1033" s="57"/>
      <c r="O1033" s="69"/>
      <c r="P1033" s="57"/>
    </row>
    <row r="1034" spans="1:16" x14ac:dyDescent="0.2">
      <c r="A1034" s="57"/>
      <c r="B1034" s="69"/>
      <c r="C1034" s="57"/>
      <c r="D1034" s="57"/>
      <c r="E1034" s="57"/>
      <c r="F1034" s="57"/>
      <c r="G1034" s="57"/>
      <c r="H1034" s="57"/>
      <c r="I1034" s="57"/>
      <c r="J1034" s="57"/>
      <c r="K1034" s="57"/>
      <c r="L1034" s="57"/>
      <c r="M1034" s="57"/>
      <c r="O1034" s="69"/>
      <c r="P1034" s="57"/>
    </row>
    <row r="1035" spans="1:16" x14ac:dyDescent="0.2">
      <c r="A1035" s="57"/>
      <c r="B1035" s="69"/>
      <c r="C1035" s="57"/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  <c r="O1035" s="69"/>
      <c r="P1035" s="57"/>
    </row>
    <row r="1036" spans="1:16" x14ac:dyDescent="0.2">
      <c r="A1036" s="57"/>
      <c r="B1036" s="69"/>
      <c r="C1036" s="57"/>
      <c r="D1036" s="57"/>
      <c r="E1036" s="57"/>
      <c r="F1036" s="57"/>
      <c r="G1036" s="57"/>
      <c r="H1036" s="57"/>
      <c r="I1036" s="57"/>
      <c r="J1036" s="57"/>
      <c r="K1036" s="57"/>
      <c r="L1036" s="57"/>
      <c r="M1036" s="57"/>
      <c r="O1036" s="69"/>
      <c r="P1036" s="57"/>
    </row>
    <row r="1037" spans="1:16" x14ac:dyDescent="0.2">
      <c r="A1037" s="57"/>
      <c r="B1037" s="69"/>
      <c r="C1037" s="57"/>
      <c r="D1037" s="57"/>
      <c r="E1037" s="57"/>
      <c r="F1037" s="57"/>
      <c r="G1037" s="57"/>
      <c r="H1037" s="57"/>
      <c r="I1037" s="57"/>
      <c r="J1037" s="57"/>
      <c r="K1037" s="57"/>
      <c r="L1037" s="57"/>
      <c r="M1037" s="57"/>
      <c r="O1037" s="69"/>
      <c r="P1037" s="57"/>
    </row>
    <row r="1038" spans="1:16" x14ac:dyDescent="0.2">
      <c r="A1038" s="57"/>
      <c r="B1038" s="69"/>
      <c r="C1038" s="57"/>
      <c r="D1038" s="57"/>
      <c r="E1038" s="57"/>
      <c r="F1038" s="57"/>
      <c r="G1038" s="57"/>
      <c r="H1038" s="57"/>
      <c r="I1038" s="57"/>
      <c r="J1038" s="57"/>
      <c r="K1038" s="57"/>
      <c r="L1038" s="57"/>
      <c r="M1038" s="57"/>
      <c r="O1038" s="69"/>
      <c r="P1038" s="57"/>
    </row>
    <row r="1039" spans="1:16" x14ac:dyDescent="0.2">
      <c r="A1039" s="57"/>
      <c r="B1039" s="69"/>
      <c r="C1039" s="57"/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  <c r="O1039" s="69"/>
      <c r="P1039" s="57"/>
    </row>
    <row r="1040" spans="1:16" x14ac:dyDescent="0.2">
      <c r="A1040" s="57"/>
      <c r="B1040" s="69"/>
      <c r="C1040" s="57"/>
      <c r="D1040" s="57"/>
      <c r="E1040" s="57"/>
      <c r="F1040" s="57"/>
      <c r="G1040" s="57"/>
      <c r="H1040" s="57"/>
      <c r="I1040" s="57"/>
      <c r="J1040" s="57"/>
      <c r="K1040" s="57"/>
      <c r="L1040" s="57"/>
      <c r="M1040" s="57"/>
      <c r="O1040" s="69"/>
      <c r="P1040" s="57"/>
    </row>
    <row r="1041" spans="1:16" x14ac:dyDescent="0.2">
      <c r="A1041" s="57"/>
      <c r="B1041" s="69"/>
      <c r="C1041" s="57"/>
      <c r="D1041" s="57"/>
      <c r="E1041" s="57"/>
      <c r="F1041" s="57"/>
      <c r="G1041" s="57"/>
      <c r="H1041" s="57"/>
      <c r="I1041" s="57"/>
      <c r="J1041" s="57"/>
      <c r="K1041" s="57"/>
      <c r="L1041" s="57"/>
      <c r="M1041" s="57"/>
      <c r="O1041" s="69"/>
      <c r="P1041" s="57"/>
    </row>
    <row r="1042" spans="1:16" x14ac:dyDescent="0.2">
      <c r="A1042" s="57"/>
      <c r="B1042" s="69"/>
      <c r="C1042" s="57"/>
      <c r="D1042" s="57"/>
      <c r="E1042" s="57"/>
      <c r="F1042" s="57"/>
      <c r="G1042" s="57"/>
      <c r="H1042" s="57"/>
      <c r="I1042" s="57"/>
      <c r="J1042" s="57"/>
      <c r="K1042" s="57"/>
      <c r="L1042" s="57"/>
      <c r="M1042" s="57"/>
      <c r="O1042" s="69"/>
      <c r="P1042" s="57"/>
    </row>
    <row r="1043" spans="1:16" x14ac:dyDescent="0.2">
      <c r="A1043" s="57"/>
      <c r="B1043" s="69"/>
      <c r="C1043" s="57"/>
      <c r="D1043" s="57"/>
      <c r="E1043" s="57"/>
      <c r="F1043" s="57"/>
      <c r="G1043" s="57"/>
      <c r="H1043" s="57"/>
      <c r="I1043" s="57"/>
      <c r="J1043" s="57"/>
      <c r="K1043" s="57"/>
      <c r="L1043" s="57"/>
      <c r="M1043" s="57"/>
      <c r="O1043" s="69"/>
      <c r="P1043" s="57"/>
    </row>
    <row r="1044" spans="1:16" x14ac:dyDescent="0.2">
      <c r="A1044" s="57"/>
      <c r="B1044" s="69"/>
      <c r="C1044" s="57"/>
      <c r="D1044" s="57"/>
      <c r="E1044" s="57"/>
      <c r="F1044" s="57"/>
      <c r="G1044" s="57"/>
      <c r="H1044" s="57"/>
      <c r="I1044" s="57"/>
      <c r="J1044" s="57"/>
      <c r="K1044" s="57"/>
      <c r="L1044" s="57"/>
      <c r="M1044" s="57"/>
      <c r="O1044" s="69"/>
      <c r="P1044" s="57"/>
    </row>
    <row r="1045" spans="1:16" x14ac:dyDescent="0.2">
      <c r="A1045" s="57"/>
      <c r="B1045" s="69"/>
      <c r="C1045" s="57"/>
      <c r="D1045" s="57"/>
      <c r="E1045" s="57"/>
      <c r="F1045" s="57"/>
      <c r="G1045" s="57"/>
      <c r="H1045" s="57"/>
      <c r="I1045" s="57"/>
      <c r="J1045" s="57"/>
      <c r="K1045" s="57"/>
      <c r="L1045" s="57"/>
      <c r="M1045" s="57"/>
      <c r="O1045" s="69"/>
      <c r="P1045" s="57"/>
    </row>
    <row r="1046" spans="1:16" x14ac:dyDescent="0.2">
      <c r="A1046" s="57"/>
      <c r="B1046" s="69"/>
      <c r="C1046" s="57"/>
      <c r="D1046" s="57"/>
      <c r="E1046" s="57"/>
      <c r="F1046" s="57"/>
      <c r="G1046" s="57"/>
      <c r="H1046" s="57"/>
      <c r="I1046" s="57"/>
      <c r="J1046" s="57"/>
      <c r="K1046" s="57"/>
      <c r="L1046" s="57"/>
      <c r="M1046" s="57"/>
      <c r="O1046" s="69"/>
      <c r="P1046" s="57"/>
    </row>
    <row r="1047" spans="1:16" x14ac:dyDescent="0.2">
      <c r="A1047" s="57"/>
      <c r="B1047" s="69"/>
      <c r="C1047" s="57"/>
      <c r="D1047" s="57"/>
      <c r="E1047" s="57"/>
      <c r="F1047" s="57"/>
      <c r="G1047" s="57"/>
      <c r="H1047" s="57"/>
      <c r="I1047" s="57"/>
      <c r="J1047" s="57"/>
      <c r="K1047" s="57"/>
      <c r="L1047" s="57"/>
      <c r="M1047" s="57"/>
      <c r="O1047" s="69"/>
      <c r="P1047" s="57"/>
    </row>
    <row r="1048" spans="1:16" x14ac:dyDescent="0.2">
      <c r="A1048" s="57"/>
      <c r="B1048" s="69"/>
      <c r="C1048" s="57"/>
      <c r="D1048" s="57"/>
      <c r="E1048" s="57"/>
      <c r="F1048" s="57"/>
      <c r="G1048" s="57"/>
      <c r="H1048" s="57"/>
      <c r="I1048" s="57"/>
      <c r="J1048" s="57"/>
      <c r="K1048" s="57"/>
      <c r="L1048" s="57"/>
      <c r="M1048" s="57"/>
      <c r="O1048" s="69"/>
      <c r="P1048" s="57"/>
    </row>
    <row r="1049" spans="1:16" x14ac:dyDescent="0.2">
      <c r="A1049" s="57"/>
      <c r="B1049" s="69"/>
      <c r="C1049" s="57"/>
      <c r="D1049" s="57"/>
      <c r="E1049" s="57"/>
      <c r="F1049" s="57"/>
      <c r="G1049" s="57"/>
      <c r="H1049" s="57"/>
      <c r="I1049" s="57"/>
      <c r="J1049" s="57"/>
      <c r="K1049" s="57"/>
      <c r="L1049" s="57"/>
      <c r="M1049" s="57"/>
      <c r="O1049" s="69"/>
      <c r="P1049" s="57"/>
    </row>
    <row r="1050" spans="1:16" x14ac:dyDescent="0.2">
      <c r="A1050" s="57"/>
      <c r="B1050" s="69"/>
      <c r="C1050" s="57"/>
      <c r="D1050" s="57"/>
      <c r="E1050" s="57"/>
      <c r="F1050" s="57"/>
      <c r="G1050" s="57"/>
      <c r="H1050" s="57"/>
      <c r="I1050" s="57"/>
      <c r="J1050" s="57"/>
      <c r="K1050" s="57"/>
      <c r="L1050" s="57"/>
      <c r="M1050" s="57"/>
      <c r="O1050" s="69"/>
      <c r="P1050" s="57"/>
    </row>
    <row r="1051" spans="1:16" x14ac:dyDescent="0.2">
      <c r="A1051" s="57"/>
      <c r="B1051" s="69"/>
      <c r="C1051" s="57"/>
      <c r="D1051" s="57"/>
      <c r="E1051" s="57"/>
      <c r="F1051" s="57"/>
      <c r="G1051" s="57"/>
      <c r="H1051" s="57"/>
      <c r="I1051" s="57"/>
      <c r="J1051" s="57"/>
      <c r="K1051" s="57"/>
      <c r="L1051" s="57"/>
      <c r="M1051" s="57"/>
      <c r="O1051" s="69"/>
      <c r="P1051" s="57"/>
    </row>
    <row r="1052" spans="1:16" x14ac:dyDescent="0.2">
      <c r="A1052" s="57"/>
      <c r="B1052" s="69"/>
      <c r="C1052" s="57"/>
      <c r="D1052" s="57"/>
      <c r="E1052" s="57"/>
      <c r="F1052" s="57"/>
      <c r="G1052" s="57"/>
      <c r="H1052" s="57"/>
      <c r="I1052" s="57"/>
      <c r="J1052" s="57"/>
      <c r="K1052" s="57"/>
      <c r="L1052" s="57"/>
      <c r="M1052" s="57"/>
      <c r="O1052" s="69"/>
      <c r="P1052" s="57"/>
    </row>
    <row r="1053" spans="1:16" x14ac:dyDescent="0.2">
      <c r="A1053" s="57"/>
      <c r="B1053" s="69"/>
      <c r="C1053" s="57"/>
      <c r="D1053" s="57"/>
      <c r="E1053" s="57"/>
      <c r="F1053" s="57"/>
      <c r="G1053" s="57"/>
      <c r="H1053" s="57"/>
      <c r="I1053" s="57"/>
      <c r="J1053" s="57"/>
      <c r="K1053" s="57"/>
      <c r="L1053" s="57"/>
      <c r="M1053" s="57"/>
      <c r="O1053" s="69"/>
      <c r="P1053" s="57"/>
    </row>
    <row r="1054" spans="1:16" x14ac:dyDescent="0.2">
      <c r="A1054" s="57"/>
      <c r="B1054" s="69"/>
      <c r="C1054" s="57"/>
      <c r="D1054" s="57"/>
      <c r="E1054" s="57"/>
      <c r="F1054" s="57"/>
      <c r="G1054" s="57"/>
      <c r="H1054" s="57"/>
      <c r="I1054" s="57"/>
      <c r="J1054" s="57"/>
      <c r="K1054" s="57"/>
      <c r="L1054" s="57"/>
      <c r="M1054" s="57"/>
      <c r="O1054" s="69"/>
      <c r="P1054" s="57"/>
    </row>
    <row r="1055" spans="1:16" x14ac:dyDescent="0.2">
      <c r="A1055" s="57"/>
      <c r="B1055" s="69"/>
      <c r="C1055" s="57"/>
      <c r="D1055" s="57"/>
      <c r="E1055" s="57"/>
      <c r="F1055" s="57"/>
      <c r="G1055" s="57"/>
      <c r="H1055" s="57"/>
      <c r="I1055" s="57"/>
      <c r="J1055" s="57"/>
      <c r="K1055" s="57"/>
      <c r="L1055" s="57"/>
      <c r="M1055" s="57"/>
      <c r="O1055" s="69"/>
      <c r="P1055" s="57"/>
    </row>
    <row r="1056" spans="1:16" x14ac:dyDescent="0.2">
      <c r="A1056" s="57"/>
      <c r="B1056" s="69"/>
      <c r="C1056" s="57"/>
      <c r="D1056" s="57"/>
      <c r="E1056" s="57"/>
      <c r="F1056" s="57"/>
      <c r="G1056" s="57"/>
      <c r="H1056" s="57"/>
      <c r="I1056" s="57"/>
      <c r="J1056" s="57"/>
      <c r="K1056" s="57"/>
      <c r="L1056" s="57"/>
      <c r="M1056" s="57"/>
      <c r="O1056" s="69"/>
      <c r="P1056" s="57"/>
    </row>
    <row r="1057" spans="1:16" x14ac:dyDescent="0.2">
      <c r="A1057" s="57"/>
      <c r="B1057" s="69"/>
      <c r="C1057" s="57"/>
      <c r="D1057" s="57"/>
      <c r="E1057" s="57"/>
      <c r="F1057" s="57"/>
      <c r="G1057" s="57"/>
      <c r="H1057" s="57"/>
      <c r="I1057" s="57"/>
      <c r="J1057" s="57"/>
      <c r="K1057" s="57"/>
      <c r="L1057" s="57"/>
      <c r="M1057" s="57"/>
      <c r="O1057" s="69"/>
      <c r="P1057" s="57"/>
    </row>
    <row r="1058" spans="1:16" x14ac:dyDescent="0.2">
      <c r="A1058" s="57"/>
      <c r="B1058" s="69"/>
      <c r="C1058" s="57"/>
      <c r="D1058" s="57"/>
      <c r="E1058" s="57"/>
      <c r="F1058" s="57"/>
      <c r="G1058" s="57"/>
      <c r="H1058" s="57"/>
      <c r="I1058" s="57"/>
      <c r="J1058" s="57"/>
      <c r="K1058" s="57"/>
      <c r="L1058" s="57"/>
      <c r="M1058" s="57"/>
      <c r="O1058" s="69"/>
      <c r="P1058" s="57"/>
    </row>
    <row r="1059" spans="1:16" x14ac:dyDescent="0.2">
      <c r="A1059" s="57"/>
      <c r="B1059" s="69"/>
      <c r="C1059" s="57"/>
      <c r="D1059" s="57"/>
      <c r="E1059" s="57"/>
      <c r="F1059" s="57"/>
      <c r="G1059" s="57"/>
      <c r="H1059" s="57"/>
      <c r="I1059" s="57"/>
      <c r="J1059" s="57"/>
      <c r="K1059" s="57"/>
      <c r="L1059" s="57"/>
      <c r="M1059" s="57"/>
      <c r="O1059" s="69"/>
      <c r="P1059" s="57"/>
    </row>
    <row r="1060" spans="1:16" x14ac:dyDescent="0.2">
      <c r="A1060" s="57"/>
      <c r="B1060" s="69"/>
      <c r="C1060" s="57"/>
      <c r="D1060" s="57"/>
      <c r="E1060" s="57"/>
      <c r="F1060" s="57"/>
      <c r="G1060" s="57"/>
      <c r="H1060" s="57"/>
      <c r="I1060" s="57"/>
      <c r="J1060" s="57"/>
      <c r="K1060" s="57"/>
      <c r="L1060" s="57"/>
      <c r="M1060" s="57"/>
      <c r="O1060" s="69"/>
      <c r="P1060" s="57"/>
    </row>
    <row r="1061" spans="1:16" x14ac:dyDescent="0.2">
      <c r="A1061" s="57"/>
      <c r="B1061" s="69"/>
      <c r="C1061" s="57"/>
      <c r="D1061" s="57"/>
      <c r="E1061" s="57"/>
      <c r="F1061" s="57"/>
      <c r="G1061" s="57"/>
      <c r="H1061" s="57"/>
      <c r="I1061" s="57"/>
      <c r="J1061" s="57"/>
      <c r="K1061" s="57"/>
      <c r="L1061" s="57"/>
      <c r="M1061" s="57"/>
      <c r="O1061" s="69"/>
      <c r="P1061" s="57"/>
    </row>
    <row r="1062" spans="1:16" x14ac:dyDescent="0.2">
      <c r="A1062" s="57"/>
      <c r="B1062" s="69"/>
      <c r="C1062" s="57"/>
      <c r="D1062" s="57"/>
      <c r="E1062" s="57"/>
      <c r="F1062" s="57"/>
      <c r="G1062" s="57"/>
      <c r="H1062" s="57"/>
      <c r="I1062" s="57"/>
      <c r="J1062" s="57"/>
      <c r="K1062" s="57"/>
      <c r="L1062" s="57"/>
      <c r="M1062" s="57"/>
      <c r="O1062" s="69"/>
      <c r="P1062" s="57"/>
    </row>
    <row r="1063" spans="1:16" x14ac:dyDescent="0.2">
      <c r="A1063" s="57"/>
      <c r="B1063" s="69"/>
      <c r="C1063" s="57"/>
      <c r="D1063" s="57"/>
      <c r="E1063" s="57"/>
      <c r="F1063" s="57"/>
      <c r="G1063" s="57"/>
      <c r="H1063" s="57"/>
      <c r="I1063" s="57"/>
      <c r="J1063" s="57"/>
      <c r="K1063" s="57"/>
      <c r="L1063" s="57"/>
      <c r="M1063" s="57"/>
      <c r="O1063" s="69"/>
      <c r="P1063" s="57"/>
    </row>
    <row r="1064" spans="1:16" x14ac:dyDescent="0.2">
      <c r="A1064" s="57"/>
      <c r="B1064" s="69"/>
      <c r="C1064" s="57"/>
      <c r="D1064" s="57"/>
      <c r="E1064" s="57"/>
      <c r="F1064" s="57"/>
      <c r="G1064" s="57"/>
      <c r="H1064" s="57"/>
      <c r="I1064" s="57"/>
      <c r="J1064" s="57"/>
      <c r="K1064" s="57"/>
      <c r="L1064" s="57"/>
      <c r="M1064" s="57"/>
      <c r="O1064" s="69"/>
      <c r="P1064" s="57"/>
    </row>
    <row r="1065" spans="1:16" x14ac:dyDescent="0.2">
      <c r="A1065" s="57"/>
      <c r="B1065" s="69"/>
      <c r="C1065" s="57"/>
      <c r="D1065" s="57"/>
      <c r="E1065" s="57"/>
      <c r="F1065" s="57"/>
      <c r="G1065" s="57"/>
      <c r="H1065" s="57"/>
      <c r="I1065" s="57"/>
      <c r="J1065" s="57"/>
      <c r="K1065" s="57"/>
      <c r="L1065" s="57"/>
      <c r="M1065" s="57"/>
      <c r="O1065" s="69"/>
      <c r="P1065" s="57"/>
    </row>
    <row r="1066" spans="1:16" x14ac:dyDescent="0.2">
      <c r="A1066" s="57"/>
      <c r="B1066" s="69"/>
      <c r="C1066" s="57"/>
      <c r="D1066" s="57"/>
      <c r="E1066" s="57"/>
      <c r="F1066" s="57"/>
      <c r="G1066" s="57"/>
      <c r="H1066" s="57"/>
      <c r="I1066" s="57"/>
      <c r="J1066" s="57"/>
      <c r="K1066" s="57"/>
      <c r="L1066" s="57"/>
      <c r="M1066" s="57"/>
      <c r="O1066" s="69"/>
      <c r="P1066" s="57"/>
    </row>
    <row r="1067" spans="1:16" x14ac:dyDescent="0.2">
      <c r="A1067" s="57"/>
      <c r="B1067" s="69"/>
      <c r="C1067" s="57"/>
      <c r="D1067" s="57"/>
      <c r="E1067" s="57"/>
      <c r="F1067" s="57"/>
      <c r="G1067" s="57"/>
      <c r="H1067" s="57"/>
      <c r="I1067" s="57"/>
      <c r="J1067" s="57"/>
      <c r="K1067" s="57"/>
      <c r="L1067" s="57"/>
      <c r="M1067" s="57"/>
      <c r="O1067" s="69"/>
      <c r="P1067" s="57"/>
    </row>
    <row r="1068" spans="1:16" x14ac:dyDescent="0.2">
      <c r="A1068" s="57"/>
      <c r="B1068" s="69"/>
      <c r="C1068" s="57"/>
      <c r="D1068" s="57"/>
      <c r="E1068" s="57"/>
      <c r="F1068" s="57"/>
      <c r="G1068" s="57"/>
      <c r="H1068" s="57"/>
      <c r="I1068" s="57"/>
      <c r="J1068" s="57"/>
      <c r="K1068" s="57"/>
      <c r="L1068" s="57"/>
      <c r="M1068" s="57"/>
      <c r="O1068" s="69"/>
      <c r="P1068" s="57"/>
    </row>
    <row r="1069" spans="1:16" x14ac:dyDescent="0.2">
      <c r="A1069" s="57"/>
      <c r="B1069" s="69"/>
      <c r="C1069" s="57"/>
      <c r="D1069" s="57"/>
      <c r="E1069" s="57"/>
      <c r="F1069" s="57"/>
      <c r="G1069" s="57"/>
      <c r="H1069" s="57"/>
      <c r="I1069" s="57"/>
      <c r="J1069" s="57"/>
      <c r="K1069" s="57"/>
      <c r="L1069" s="57"/>
      <c r="M1069" s="57"/>
      <c r="O1069" s="69"/>
      <c r="P1069" s="57"/>
    </row>
    <row r="1070" spans="1:16" x14ac:dyDescent="0.2">
      <c r="A1070" s="57"/>
      <c r="B1070" s="69"/>
      <c r="C1070" s="57"/>
      <c r="D1070" s="57"/>
      <c r="E1070" s="57"/>
      <c r="F1070" s="57"/>
      <c r="G1070" s="57"/>
      <c r="H1070" s="57"/>
      <c r="I1070" s="57"/>
      <c r="J1070" s="57"/>
      <c r="K1070" s="57"/>
      <c r="L1070" s="57"/>
      <c r="M1070" s="57"/>
      <c r="O1070" s="69"/>
      <c r="P1070" s="57"/>
    </row>
    <row r="1071" spans="1:16" x14ac:dyDescent="0.2">
      <c r="A1071" s="57"/>
      <c r="B1071" s="69"/>
      <c r="C1071" s="57"/>
      <c r="D1071" s="57"/>
      <c r="E1071" s="57"/>
      <c r="F1071" s="57"/>
      <c r="G1071" s="57"/>
      <c r="H1071" s="57"/>
      <c r="I1071" s="57"/>
      <c r="J1071" s="57"/>
      <c r="K1071" s="57"/>
      <c r="L1071" s="57"/>
      <c r="M1071" s="57"/>
      <c r="O1071" s="69"/>
      <c r="P1071" s="57"/>
    </row>
    <row r="1072" spans="1:16" x14ac:dyDescent="0.2">
      <c r="A1072" s="57"/>
      <c r="B1072" s="69"/>
      <c r="C1072" s="57"/>
      <c r="D1072" s="57"/>
      <c r="E1072" s="57"/>
      <c r="F1072" s="57"/>
      <c r="G1072" s="57"/>
      <c r="H1072" s="57"/>
      <c r="I1072" s="57"/>
      <c r="J1072" s="57"/>
      <c r="K1072" s="57"/>
      <c r="L1072" s="57"/>
      <c r="M1072" s="57"/>
      <c r="O1072" s="69"/>
      <c r="P1072" s="57"/>
    </row>
    <row r="1073" spans="1:16" x14ac:dyDescent="0.2">
      <c r="A1073" s="57"/>
      <c r="B1073" s="69"/>
      <c r="C1073" s="57"/>
      <c r="D1073" s="57"/>
      <c r="E1073" s="57"/>
      <c r="F1073" s="57"/>
      <c r="G1073" s="57"/>
      <c r="H1073" s="57"/>
      <c r="I1073" s="57"/>
      <c r="J1073" s="57"/>
      <c r="K1073" s="57"/>
      <c r="L1073" s="57"/>
      <c r="M1073" s="57"/>
      <c r="O1073" s="69"/>
      <c r="P1073" s="57"/>
    </row>
    <row r="1074" spans="1:16" x14ac:dyDescent="0.2">
      <c r="A1074" s="57"/>
      <c r="B1074" s="69"/>
      <c r="C1074" s="57"/>
      <c r="D1074" s="57"/>
      <c r="E1074" s="57"/>
      <c r="F1074" s="57"/>
      <c r="G1074" s="57"/>
      <c r="H1074" s="57"/>
      <c r="I1074" s="57"/>
      <c r="J1074" s="57"/>
      <c r="K1074" s="57"/>
      <c r="L1074" s="57"/>
      <c r="M1074" s="57"/>
      <c r="O1074" s="69"/>
      <c r="P1074" s="57"/>
    </row>
    <row r="1075" spans="1:16" x14ac:dyDescent="0.2">
      <c r="A1075" s="57"/>
      <c r="B1075" s="69"/>
      <c r="C1075" s="57"/>
      <c r="D1075" s="57"/>
      <c r="E1075" s="57"/>
      <c r="F1075" s="57"/>
      <c r="G1075" s="57"/>
      <c r="H1075" s="57"/>
      <c r="I1075" s="57"/>
      <c r="J1075" s="57"/>
      <c r="K1075" s="57"/>
      <c r="L1075" s="57"/>
      <c r="M1075" s="57"/>
      <c r="O1075" s="69"/>
      <c r="P1075" s="57"/>
    </row>
    <row r="1076" spans="1:16" x14ac:dyDescent="0.2">
      <c r="A1076" s="57"/>
      <c r="B1076" s="69"/>
      <c r="C1076" s="57"/>
      <c r="D1076" s="57"/>
      <c r="E1076" s="57"/>
      <c r="F1076" s="57"/>
      <c r="G1076" s="57"/>
      <c r="H1076" s="57"/>
      <c r="I1076" s="57"/>
      <c r="J1076" s="57"/>
      <c r="K1076" s="57"/>
      <c r="L1076" s="57"/>
      <c r="M1076" s="57"/>
      <c r="O1076" s="69"/>
      <c r="P1076" s="57"/>
    </row>
    <row r="1077" spans="1:16" x14ac:dyDescent="0.2">
      <c r="A1077" s="57"/>
      <c r="B1077" s="69"/>
      <c r="C1077" s="57"/>
      <c r="D1077" s="57"/>
      <c r="E1077" s="57"/>
      <c r="F1077" s="57"/>
      <c r="G1077" s="57"/>
      <c r="H1077" s="57"/>
      <c r="I1077" s="57"/>
      <c r="J1077" s="57"/>
      <c r="K1077" s="57"/>
      <c r="L1077" s="57"/>
      <c r="M1077" s="57"/>
      <c r="O1077" s="69"/>
      <c r="P1077" s="57"/>
    </row>
    <row r="1078" spans="1:16" x14ac:dyDescent="0.2">
      <c r="A1078" s="57"/>
      <c r="B1078" s="69"/>
      <c r="C1078" s="57"/>
      <c r="D1078" s="57"/>
      <c r="E1078" s="57"/>
      <c r="F1078" s="57"/>
      <c r="G1078" s="57"/>
      <c r="H1078" s="57"/>
      <c r="I1078" s="57"/>
      <c r="J1078" s="57"/>
      <c r="K1078" s="57"/>
      <c r="L1078" s="57"/>
      <c r="M1078" s="57"/>
      <c r="O1078" s="69"/>
      <c r="P1078" s="57"/>
    </row>
    <row r="1079" spans="1:16" x14ac:dyDescent="0.2">
      <c r="A1079" s="57"/>
      <c r="B1079" s="69"/>
      <c r="C1079" s="57"/>
      <c r="D1079" s="57"/>
      <c r="E1079" s="57"/>
      <c r="F1079" s="57"/>
      <c r="G1079" s="57"/>
      <c r="H1079" s="57"/>
      <c r="I1079" s="57"/>
      <c r="J1079" s="57"/>
      <c r="K1079" s="57"/>
      <c r="L1079" s="57"/>
      <c r="M1079" s="57"/>
      <c r="O1079" s="69"/>
      <c r="P1079" s="57"/>
    </row>
    <row r="1080" spans="1:16" x14ac:dyDescent="0.2">
      <c r="A1080" s="57"/>
      <c r="B1080" s="69"/>
      <c r="C1080" s="57"/>
      <c r="D1080" s="57"/>
      <c r="E1080" s="57"/>
      <c r="F1080" s="57"/>
      <c r="G1080" s="57"/>
      <c r="H1080" s="57"/>
      <c r="I1080" s="57"/>
      <c r="J1080" s="57"/>
      <c r="K1080" s="57"/>
      <c r="L1080" s="57"/>
      <c r="M1080" s="57"/>
      <c r="O1080" s="69"/>
      <c r="P1080" s="57"/>
    </row>
    <row r="1081" spans="1:16" x14ac:dyDescent="0.2">
      <c r="A1081" s="57"/>
      <c r="B1081" s="69"/>
      <c r="C1081" s="57"/>
      <c r="D1081" s="57"/>
      <c r="E1081" s="57"/>
      <c r="F1081" s="57"/>
      <c r="G1081" s="57"/>
      <c r="H1081" s="57"/>
      <c r="I1081" s="57"/>
      <c r="J1081" s="57"/>
      <c r="K1081" s="57"/>
      <c r="L1081" s="57"/>
      <c r="M1081" s="57"/>
      <c r="O1081" s="69"/>
      <c r="P1081" s="57"/>
    </row>
    <row r="1082" spans="1:16" x14ac:dyDescent="0.2">
      <c r="A1082" s="57"/>
      <c r="B1082" s="69"/>
      <c r="C1082" s="57"/>
      <c r="D1082" s="57"/>
      <c r="E1082" s="57"/>
      <c r="F1082" s="57"/>
      <c r="G1082" s="57"/>
      <c r="H1082" s="57"/>
      <c r="I1082" s="57"/>
      <c r="J1082" s="57"/>
      <c r="K1082" s="57"/>
      <c r="L1082" s="57"/>
      <c r="M1082" s="57"/>
      <c r="O1082" s="69"/>
      <c r="P1082" s="57"/>
    </row>
    <row r="1083" spans="1:16" x14ac:dyDescent="0.2">
      <c r="A1083" s="57"/>
      <c r="B1083" s="69"/>
      <c r="C1083" s="57"/>
      <c r="D1083" s="57"/>
      <c r="E1083" s="57"/>
      <c r="F1083" s="57"/>
      <c r="G1083" s="57"/>
      <c r="H1083" s="57"/>
      <c r="I1083" s="57"/>
      <c r="J1083" s="57"/>
      <c r="K1083" s="57"/>
      <c r="L1083" s="57"/>
      <c r="M1083" s="57"/>
      <c r="O1083" s="69"/>
      <c r="P1083" s="57"/>
    </row>
    <row r="1084" spans="1:16" x14ac:dyDescent="0.2">
      <c r="A1084" s="57"/>
      <c r="B1084" s="69"/>
      <c r="C1084" s="57"/>
      <c r="D1084" s="57"/>
      <c r="E1084" s="57"/>
      <c r="F1084" s="57"/>
      <c r="G1084" s="57"/>
      <c r="H1084" s="57"/>
      <c r="I1084" s="57"/>
      <c r="J1084" s="57"/>
      <c r="K1084" s="57"/>
      <c r="L1084" s="57"/>
      <c r="M1084" s="57"/>
      <c r="O1084" s="69"/>
      <c r="P1084" s="57"/>
    </row>
    <row r="1085" spans="1:16" x14ac:dyDescent="0.2">
      <c r="A1085" s="57"/>
      <c r="B1085" s="69"/>
      <c r="C1085" s="57"/>
      <c r="D1085" s="57"/>
      <c r="E1085" s="57"/>
      <c r="F1085" s="57"/>
      <c r="G1085" s="57"/>
      <c r="H1085" s="57"/>
      <c r="I1085" s="57"/>
      <c r="J1085" s="57"/>
      <c r="K1085" s="57"/>
      <c r="L1085" s="57"/>
      <c r="M1085" s="57"/>
      <c r="O1085" s="69"/>
      <c r="P1085" s="57"/>
    </row>
    <row r="1086" spans="1:16" x14ac:dyDescent="0.2">
      <c r="A1086" s="57"/>
      <c r="B1086" s="69"/>
      <c r="C1086" s="57"/>
      <c r="D1086" s="57"/>
      <c r="E1086" s="57"/>
      <c r="F1086" s="57"/>
      <c r="G1086" s="57"/>
      <c r="H1086" s="57"/>
      <c r="I1086" s="57"/>
      <c r="J1086" s="57"/>
      <c r="K1086" s="57"/>
      <c r="L1086" s="57"/>
      <c r="M1086" s="57"/>
      <c r="O1086" s="69"/>
      <c r="P1086" s="57"/>
    </row>
    <row r="1087" spans="1:16" x14ac:dyDescent="0.2">
      <c r="A1087" s="57"/>
      <c r="B1087" s="69"/>
      <c r="C1087" s="57"/>
      <c r="D1087" s="57"/>
      <c r="E1087" s="57"/>
      <c r="F1087" s="57"/>
      <c r="G1087" s="57"/>
      <c r="H1087" s="57"/>
      <c r="I1087" s="57"/>
      <c r="J1087" s="57"/>
      <c r="K1087" s="57"/>
      <c r="L1087" s="57"/>
      <c r="M1087" s="57"/>
      <c r="O1087" s="69"/>
      <c r="P1087" s="57"/>
    </row>
    <row r="1088" spans="1:16" x14ac:dyDescent="0.2">
      <c r="A1088" s="57"/>
      <c r="B1088" s="69"/>
      <c r="C1088" s="57"/>
      <c r="D1088" s="57"/>
      <c r="E1088" s="57"/>
      <c r="F1088" s="57"/>
      <c r="G1088" s="57"/>
      <c r="H1088" s="57"/>
      <c r="I1088" s="57"/>
      <c r="J1088" s="57"/>
      <c r="K1088" s="57"/>
      <c r="L1088" s="57"/>
      <c r="M1088" s="57"/>
      <c r="O1088" s="69"/>
      <c r="P1088" s="57"/>
    </row>
    <row r="1089" spans="1:16" x14ac:dyDescent="0.2">
      <c r="A1089" s="57"/>
      <c r="B1089" s="69"/>
      <c r="C1089" s="57"/>
      <c r="D1089" s="57"/>
      <c r="E1089" s="57"/>
      <c r="F1089" s="57"/>
      <c r="G1089" s="57"/>
      <c r="H1089" s="57"/>
      <c r="I1089" s="57"/>
      <c r="J1089" s="57"/>
      <c r="K1089" s="57"/>
      <c r="L1089" s="57"/>
      <c r="M1089" s="57"/>
      <c r="O1089" s="69"/>
      <c r="P1089" s="57"/>
    </row>
    <row r="1090" spans="1:16" x14ac:dyDescent="0.2">
      <c r="A1090" s="57"/>
      <c r="B1090" s="69"/>
      <c r="C1090" s="57"/>
      <c r="D1090" s="57"/>
      <c r="E1090" s="57"/>
      <c r="F1090" s="57"/>
      <c r="G1090" s="57"/>
      <c r="H1090" s="57"/>
      <c r="I1090" s="57"/>
      <c r="J1090" s="57"/>
      <c r="K1090" s="57"/>
      <c r="L1090" s="57"/>
      <c r="M1090" s="57"/>
      <c r="O1090" s="69"/>
      <c r="P1090" s="57"/>
    </row>
    <row r="1091" spans="1:16" x14ac:dyDescent="0.2">
      <c r="A1091" s="57"/>
      <c r="B1091" s="69"/>
      <c r="C1091" s="57"/>
      <c r="D1091" s="57"/>
      <c r="E1091" s="57"/>
      <c r="F1091" s="57"/>
      <c r="G1091" s="57"/>
      <c r="H1091" s="57"/>
      <c r="I1091" s="57"/>
      <c r="J1091" s="57"/>
      <c r="K1091" s="57"/>
      <c r="L1091" s="57"/>
      <c r="M1091" s="57"/>
      <c r="O1091" s="69"/>
      <c r="P1091" s="57"/>
    </row>
    <row r="1092" spans="1:16" x14ac:dyDescent="0.2">
      <c r="A1092" s="57"/>
      <c r="B1092" s="69"/>
      <c r="C1092" s="57"/>
      <c r="D1092" s="57"/>
      <c r="E1092" s="57"/>
      <c r="F1092" s="57"/>
      <c r="G1092" s="57"/>
      <c r="H1092" s="57"/>
      <c r="I1092" s="57"/>
      <c r="J1092" s="57"/>
      <c r="K1092" s="57"/>
      <c r="L1092" s="57"/>
      <c r="M1092" s="57"/>
      <c r="O1092" s="69"/>
      <c r="P1092" s="57"/>
    </row>
    <row r="1093" spans="1:16" x14ac:dyDescent="0.2">
      <c r="A1093" s="57"/>
      <c r="B1093" s="69"/>
      <c r="C1093" s="57"/>
      <c r="D1093" s="57"/>
      <c r="E1093" s="57"/>
      <c r="F1093" s="57"/>
      <c r="G1093" s="57"/>
      <c r="H1093" s="57"/>
      <c r="I1093" s="57"/>
      <c r="J1093" s="57"/>
      <c r="K1093" s="57"/>
      <c r="L1093" s="57"/>
      <c r="M1093" s="57"/>
      <c r="O1093" s="69"/>
      <c r="P1093" s="57"/>
    </row>
    <row r="1094" spans="1:16" x14ac:dyDescent="0.2">
      <c r="A1094" s="57"/>
      <c r="B1094" s="69"/>
      <c r="C1094" s="57"/>
      <c r="D1094" s="57"/>
      <c r="E1094" s="57"/>
      <c r="F1094" s="57"/>
      <c r="G1094" s="57"/>
      <c r="H1094" s="57"/>
      <c r="I1094" s="57"/>
      <c r="J1094" s="57"/>
      <c r="K1094" s="57"/>
      <c r="L1094" s="57"/>
      <c r="M1094" s="57"/>
      <c r="O1094" s="69"/>
      <c r="P1094" s="57"/>
    </row>
    <row r="1095" spans="1:16" x14ac:dyDescent="0.2">
      <c r="A1095" s="57"/>
      <c r="B1095" s="69"/>
      <c r="C1095" s="57"/>
      <c r="D1095" s="57"/>
      <c r="E1095" s="57"/>
      <c r="F1095" s="57"/>
      <c r="G1095" s="57"/>
      <c r="H1095" s="57"/>
      <c r="I1095" s="57"/>
      <c r="J1095" s="57"/>
      <c r="K1095" s="57"/>
      <c r="L1095" s="57"/>
      <c r="M1095" s="57"/>
      <c r="O1095" s="69"/>
      <c r="P1095" s="57"/>
    </row>
    <row r="1096" spans="1:16" x14ac:dyDescent="0.2">
      <c r="A1096" s="57"/>
      <c r="B1096" s="69"/>
      <c r="C1096" s="57"/>
      <c r="D1096" s="57"/>
      <c r="E1096" s="57"/>
      <c r="F1096" s="57"/>
      <c r="G1096" s="57"/>
      <c r="H1096" s="57"/>
      <c r="I1096" s="57"/>
      <c r="J1096" s="57"/>
      <c r="K1096" s="57"/>
      <c r="L1096" s="57"/>
      <c r="M1096" s="57"/>
      <c r="O1096" s="69"/>
      <c r="P1096" s="57"/>
    </row>
    <row r="1097" spans="1:16" x14ac:dyDescent="0.2">
      <c r="A1097" s="57"/>
      <c r="B1097" s="69"/>
      <c r="C1097" s="57"/>
      <c r="D1097" s="57"/>
      <c r="E1097" s="57"/>
      <c r="F1097" s="57"/>
      <c r="G1097" s="57"/>
      <c r="H1097" s="57"/>
      <c r="I1097" s="57"/>
      <c r="J1097" s="57"/>
      <c r="K1097" s="57"/>
      <c r="L1097" s="57"/>
      <c r="M1097" s="57"/>
      <c r="O1097" s="69"/>
      <c r="P1097" s="57"/>
    </row>
    <row r="1098" spans="1:16" x14ac:dyDescent="0.2">
      <c r="A1098" s="57"/>
      <c r="B1098" s="69"/>
      <c r="C1098" s="57"/>
      <c r="D1098" s="57"/>
      <c r="E1098" s="57"/>
      <c r="F1098" s="57"/>
      <c r="G1098" s="57"/>
      <c r="H1098" s="57"/>
      <c r="I1098" s="57"/>
      <c r="J1098" s="57"/>
      <c r="K1098" s="57"/>
      <c r="L1098" s="57"/>
      <c r="M1098" s="57"/>
      <c r="O1098" s="69"/>
      <c r="P1098" s="57"/>
    </row>
    <row r="1099" spans="1:16" x14ac:dyDescent="0.2">
      <c r="A1099" s="57"/>
      <c r="B1099" s="69"/>
      <c r="C1099" s="57"/>
      <c r="D1099" s="57"/>
      <c r="E1099" s="57"/>
      <c r="F1099" s="57"/>
      <c r="G1099" s="57"/>
      <c r="H1099" s="57"/>
      <c r="I1099" s="57"/>
      <c r="J1099" s="57"/>
      <c r="K1099" s="57"/>
      <c r="L1099" s="57"/>
      <c r="M1099" s="57"/>
      <c r="O1099" s="69"/>
      <c r="P1099" s="57"/>
    </row>
    <row r="1100" spans="1:16" x14ac:dyDescent="0.2">
      <c r="A1100" s="57"/>
      <c r="B1100" s="69"/>
      <c r="C1100" s="57"/>
      <c r="D1100" s="57"/>
      <c r="E1100" s="57"/>
      <c r="F1100" s="57"/>
      <c r="G1100" s="57"/>
      <c r="H1100" s="57"/>
      <c r="I1100" s="57"/>
      <c r="J1100" s="57"/>
      <c r="K1100" s="57"/>
      <c r="L1100" s="57"/>
      <c r="M1100" s="57"/>
      <c r="O1100" s="69"/>
      <c r="P1100" s="57"/>
    </row>
    <row r="1101" spans="1:16" x14ac:dyDescent="0.2">
      <c r="A1101" s="57"/>
      <c r="B1101" s="69"/>
      <c r="C1101" s="57"/>
      <c r="D1101" s="57"/>
      <c r="E1101" s="57"/>
      <c r="F1101" s="57"/>
      <c r="G1101" s="57"/>
      <c r="H1101" s="57"/>
      <c r="I1101" s="57"/>
      <c r="J1101" s="57"/>
      <c r="K1101" s="57"/>
      <c r="L1101" s="57"/>
      <c r="M1101" s="57"/>
      <c r="O1101" s="69"/>
      <c r="P1101" s="57"/>
    </row>
    <row r="1102" spans="1:16" x14ac:dyDescent="0.2">
      <c r="A1102" s="57"/>
      <c r="B1102" s="69"/>
      <c r="C1102" s="57"/>
      <c r="D1102" s="57"/>
      <c r="E1102" s="57"/>
      <c r="F1102" s="57"/>
      <c r="G1102" s="57"/>
      <c r="H1102" s="57"/>
      <c r="I1102" s="57"/>
      <c r="J1102" s="57"/>
      <c r="K1102" s="57"/>
      <c r="L1102" s="57"/>
      <c r="M1102" s="57"/>
      <c r="O1102" s="69"/>
      <c r="P1102" s="57"/>
    </row>
    <row r="1103" spans="1:16" x14ac:dyDescent="0.2">
      <c r="A1103" s="57"/>
      <c r="B1103" s="69"/>
      <c r="C1103" s="57"/>
      <c r="D1103" s="57"/>
      <c r="E1103" s="57"/>
      <c r="F1103" s="57"/>
      <c r="G1103" s="57"/>
      <c r="H1103" s="57"/>
      <c r="I1103" s="57"/>
      <c r="J1103" s="57"/>
      <c r="K1103" s="57"/>
      <c r="L1103" s="57"/>
      <c r="M1103" s="57"/>
      <c r="O1103" s="69"/>
      <c r="P1103" s="57"/>
    </row>
    <row r="1104" spans="1:16" x14ac:dyDescent="0.2">
      <c r="A1104" s="57"/>
      <c r="B1104" s="69"/>
      <c r="C1104" s="57"/>
      <c r="D1104" s="57"/>
      <c r="E1104" s="57"/>
      <c r="F1104" s="57"/>
      <c r="G1104" s="57"/>
      <c r="H1104" s="57"/>
      <c r="I1104" s="57"/>
      <c r="J1104" s="57"/>
      <c r="K1104" s="57"/>
      <c r="L1104" s="57"/>
      <c r="M1104" s="57"/>
      <c r="O1104" s="69"/>
      <c r="P1104" s="57"/>
    </row>
    <row r="1105" spans="1:16" x14ac:dyDescent="0.2">
      <c r="A1105" s="57"/>
      <c r="B1105" s="69"/>
      <c r="C1105" s="57"/>
      <c r="D1105" s="57"/>
      <c r="E1105" s="57"/>
      <c r="F1105" s="57"/>
      <c r="G1105" s="57"/>
      <c r="H1105" s="57"/>
      <c r="I1105" s="57"/>
      <c r="J1105" s="57"/>
      <c r="K1105" s="57"/>
      <c r="L1105" s="57"/>
      <c r="M1105" s="57"/>
      <c r="O1105" s="69"/>
      <c r="P1105" s="57"/>
    </row>
    <row r="1106" spans="1:16" x14ac:dyDescent="0.2">
      <c r="A1106" s="57"/>
      <c r="B1106" s="69"/>
      <c r="C1106" s="57"/>
      <c r="D1106" s="57"/>
      <c r="E1106" s="57"/>
      <c r="F1106" s="57"/>
      <c r="G1106" s="57"/>
      <c r="H1106" s="57"/>
      <c r="I1106" s="57"/>
      <c r="J1106" s="57"/>
      <c r="K1106" s="57"/>
      <c r="L1106" s="57"/>
      <c r="M1106" s="57"/>
      <c r="O1106" s="69"/>
      <c r="P1106" s="57"/>
    </row>
    <row r="1107" spans="1:16" x14ac:dyDescent="0.2">
      <c r="A1107" s="57"/>
      <c r="B1107" s="69"/>
      <c r="C1107" s="57"/>
      <c r="D1107" s="57"/>
      <c r="E1107" s="57"/>
      <c r="F1107" s="57"/>
      <c r="G1107" s="57"/>
      <c r="H1107" s="57"/>
      <c r="I1107" s="57"/>
      <c r="J1107" s="57"/>
      <c r="K1107" s="57"/>
      <c r="L1107" s="57"/>
      <c r="M1107" s="57"/>
      <c r="O1107" s="69"/>
      <c r="P1107" s="57"/>
    </row>
    <row r="1108" spans="1:16" x14ac:dyDescent="0.2">
      <c r="A1108" s="57"/>
      <c r="B1108" s="69"/>
      <c r="C1108" s="57"/>
      <c r="D1108" s="57"/>
      <c r="E1108" s="57"/>
      <c r="F1108" s="57"/>
      <c r="G1108" s="57"/>
      <c r="H1108" s="57"/>
      <c r="I1108" s="57"/>
      <c r="J1108" s="57"/>
      <c r="K1108" s="57"/>
      <c r="L1108" s="57"/>
      <c r="M1108" s="57"/>
      <c r="O1108" s="69"/>
      <c r="P1108" s="57"/>
    </row>
    <row r="1109" spans="1:16" x14ac:dyDescent="0.2">
      <c r="A1109" s="57"/>
      <c r="B1109" s="69"/>
      <c r="C1109" s="57"/>
      <c r="D1109" s="57"/>
      <c r="E1109" s="57"/>
      <c r="F1109" s="57"/>
      <c r="G1109" s="57"/>
      <c r="H1109" s="57"/>
      <c r="I1109" s="57"/>
      <c r="J1109" s="57"/>
      <c r="K1109" s="57"/>
      <c r="L1109" s="57"/>
      <c r="M1109" s="57"/>
      <c r="O1109" s="69"/>
      <c r="P1109" s="57"/>
    </row>
    <row r="1110" spans="1:16" x14ac:dyDescent="0.2">
      <c r="A1110" s="57"/>
      <c r="B1110" s="69"/>
      <c r="C1110" s="57"/>
      <c r="D1110" s="57"/>
      <c r="E1110" s="57"/>
      <c r="F1110" s="57"/>
      <c r="G1110" s="57"/>
      <c r="H1110" s="57"/>
      <c r="I1110" s="57"/>
      <c r="J1110" s="57"/>
      <c r="K1110" s="57"/>
      <c r="L1110" s="57"/>
      <c r="M1110" s="57"/>
      <c r="O1110" s="69"/>
      <c r="P1110" s="57"/>
    </row>
    <row r="1111" spans="1:16" x14ac:dyDescent="0.2">
      <c r="A1111" s="57"/>
      <c r="B1111" s="69"/>
      <c r="C1111" s="57"/>
      <c r="D1111" s="57"/>
      <c r="E1111" s="57"/>
      <c r="F1111" s="57"/>
      <c r="G1111" s="57"/>
      <c r="H1111" s="57"/>
      <c r="I1111" s="57"/>
      <c r="J1111" s="57"/>
      <c r="K1111" s="57"/>
      <c r="L1111" s="57"/>
      <c r="M1111" s="57"/>
      <c r="O1111" s="69"/>
      <c r="P1111" s="57"/>
    </row>
    <row r="1112" spans="1:16" x14ac:dyDescent="0.2">
      <c r="A1112" s="57"/>
      <c r="B1112" s="69"/>
      <c r="C1112" s="57"/>
      <c r="D1112" s="57"/>
      <c r="E1112" s="57"/>
      <c r="F1112" s="57"/>
      <c r="G1112" s="57"/>
      <c r="H1112" s="57"/>
      <c r="I1112" s="57"/>
      <c r="J1112" s="57"/>
      <c r="K1112" s="57"/>
      <c r="L1112" s="57"/>
      <c r="M1112" s="57"/>
      <c r="O1112" s="69"/>
      <c r="P1112" s="57"/>
    </row>
    <row r="1113" spans="1:16" x14ac:dyDescent="0.2">
      <c r="A1113" s="57"/>
      <c r="B1113" s="69"/>
      <c r="C1113" s="57"/>
      <c r="D1113" s="57"/>
      <c r="E1113" s="57"/>
      <c r="F1113" s="57"/>
      <c r="G1113" s="57"/>
      <c r="H1113" s="57"/>
      <c r="I1113" s="57"/>
      <c r="J1113" s="57"/>
      <c r="K1113" s="57"/>
      <c r="L1113" s="57"/>
      <c r="M1113" s="57"/>
      <c r="O1113" s="69"/>
      <c r="P1113" s="57"/>
    </row>
    <row r="1114" spans="1:16" x14ac:dyDescent="0.2">
      <c r="A1114" s="57"/>
      <c r="B1114" s="69"/>
      <c r="C1114" s="57"/>
      <c r="D1114" s="57"/>
      <c r="E1114" s="57"/>
      <c r="F1114" s="57"/>
      <c r="G1114" s="57"/>
      <c r="H1114" s="57"/>
      <c r="I1114" s="57"/>
      <c r="J1114" s="57"/>
      <c r="K1114" s="57"/>
      <c r="L1114" s="57"/>
      <c r="M1114" s="57"/>
      <c r="O1114" s="69"/>
      <c r="P1114" s="57"/>
    </row>
    <row r="1115" spans="1:16" x14ac:dyDescent="0.2">
      <c r="A1115" s="57"/>
      <c r="B1115" s="69"/>
      <c r="C1115" s="57"/>
      <c r="D1115" s="57"/>
      <c r="E1115" s="57"/>
      <c r="F1115" s="57"/>
      <c r="G1115" s="57"/>
      <c r="H1115" s="57"/>
      <c r="I1115" s="57"/>
      <c r="J1115" s="57"/>
      <c r="K1115" s="57"/>
      <c r="L1115" s="57"/>
      <c r="M1115" s="57"/>
      <c r="O1115" s="69"/>
      <c r="P1115" s="57"/>
    </row>
    <row r="1116" spans="1:16" x14ac:dyDescent="0.2">
      <c r="A1116" s="57"/>
      <c r="B1116" s="69"/>
      <c r="C1116" s="57"/>
      <c r="D1116" s="57"/>
      <c r="E1116" s="57"/>
      <c r="F1116" s="57"/>
      <c r="G1116" s="57"/>
      <c r="H1116" s="57"/>
      <c r="I1116" s="57"/>
      <c r="J1116" s="57"/>
      <c r="K1116" s="57"/>
      <c r="L1116" s="57"/>
      <c r="M1116" s="57"/>
      <c r="O1116" s="69"/>
      <c r="P1116" s="57"/>
    </row>
    <row r="1117" spans="1:16" x14ac:dyDescent="0.2">
      <c r="A1117" s="57"/>
      <c r="B1117" s="69"/>
      <c r="C1117" s="57"/>
      <c r="D1117" s="57"/>
      <c r="E1117" s="57"/>
      <c r="F1117" s="57"/>
      <c r="G1117" s="57"/>
      <c r="H1117" s="57"/>
      <c r="I1117" s="57"/>
      <c r="J1117" s="57"/>
      <c r="K1117" s="57"/>
      <c r="L1117" s="57"/>
      <c r="M1117" s="57"/>
      <c r="O1117" s="69"/>
      <c r="P1117" s="57"/>
    </row>
    <row r="1118" spans="1:16" x14ac:dyDescent="0.2">
      <c r="A1118" s="57"/>
      <c r="B1118" s="69"/>
      <c r="C1118" s="57"/>
      <c r="D1118" s="57"/>
      <c r="E1118" s="57"/>
      <c r="F1118" s="57"/>
      <c r="G1118" s="57"/>
      <c r="H1118" s="57"/>
      <c r="I1118" s="57"/>
      <c r="J1118" s="57"/>
      <c r="K1118" s="57"/>
      <c r="L1118" s="57"/>
      <c r="M1118" s="57"/>
      <c r="O1118" s="69"/>
      <c r="P1118" s="57"/>
    </row>
    <row r="1119" spans="1:16" x14ac:dyDescent="0.2">
      <c r="A1119" s="57"/>
      <c r="B1119" s="69"/>
      <c r="C1119" s="57"/>
      <c r="D1119" s="57"/>
      <c r="E1119" s="57"/>
      <c r="F1119" s="57"/>
      <c r="G1119" s="57"/>
      <c r="H1119" s="57"/>
      <c r="I1119" s="57"/>
      <c r="J1119" s="57"/>
      <c r="K1119" s="57"/>
      <c r="L1119" s="57"/>
      <c r="M1119" s="57"/>
      <c r="O1119" s="69"/>
      <c r="P1119" s="57"/>
    </row>
    <row r="1120" spans="1:16" x14ac:dyDescent="0.2">
      <c r="A1120" s="57"/>
      <c r="B1120" s="69"/>
      <c r="C1120" s="57"/>
      <c r="D1120" s="57"/>
      <c r="E1120" s="57"/>
      <c r="F1120" s="57"/>
      <c r="G1120" s="57"/>
      <c r="H1120" s="57"/>
      <c r="I1120" s="57"/>
      <c r="J1120" s="57"/>
      <c r="K1120" s="57"/>
      <c r="L1120" s="57"/>
      <c r="M1120" s="57"/>
      <c r="O1120" s="69"/>
      <c r="P1120" s="57"/>
    </row>
    <row r="1121" spans="1:16" x14ac:dyDescent="0.2">
      <c r="A1121" s="57"/>
      <c r="B1121" s="69"/>
      <c r="C1121" s="57"/>
      <c r="D1121" s="57"/>
      <c r="E1121" s="57"/>
      <c r="F1121" s="57"/>
      <c r="G1121" s="57"/>
      <c r="H1121" s="57"/>
      <c r="I1121" s="57"/>
      <c r="J1121" s="57"/>
      <c r="K1121" s="57"/>
      <c r="L1121" s="57"/>
      <c r="M1121" s="57"/>
      <c r="O1121" s="69"/>
      <c r="P1121" s="57"/>
    </row>
    <row r="1122" spans="1:16" x14ac:dyDescent="0.2">
      <c r="A1122" s="57"/>
      <c r="B1122" s="69"/>
      <c r="C1122" s="57"/>
      <c r="D1122" s="57"/>
      <c r="E1122" s="57"/>
      <c r="F1122" s="57"/>
      <c r="G1122" s="57"/>
      <c r="H1122" s="57"/>
      <c r="I1122" s="57"/>
      <c r="J1122" s="57"/>
      <c r="K1122" s="57"/>
      <c r="L1122" s="57"/>
      <c r="M1122" s="57"/>
      <c r="O1122" s="69"/>
      <c r="P1122" s="57"/>
    </row>
    <row r="1123" spans="1:16" x14ac:dyDescent="0.2">
      <c r="A1123" s="57"/>
      <c r="B1123" s="69"/>
      <c r="C1123" s="57"/>
      <c r="D1123" s="57"/>
      <c r="E1123" s="57"/>
      <c r="F1123" s="57"/>
      <c r="G1123" s="57"/>
      <c r="H1123" s="57"/>
      <c r="I1123" s="57"/>
      <c r="J1123" s="57"/>
      <c r="K1123" s="57"/>
      <c r="L1123" s="57"/>
      <c r="M1123" s="57"/>
      <c r="O1123" s="69"/>
      <c r="P1123" s="57"/>
    </row>
    <row r="1124" spans="1:16" x14ac:dyDescent="0.2">
      <c r="A1124" s="57"/>
      <c r="B1124" s="69"/>
      <c r="C1124" s="57"/>
      <c r="D1124" s="57"/>
      <c r="E1124" s="57"/>
      <c r="F1124" s="57"/>
      <c r="G1124" s="57"/>
      <c r="H1124" s="57"/>
      <c r="I1124" s="57"/>
      <c r="J1124" s="57"/>
      <c r="K1124" s="57"/>
      <c r="L1124" s="57"/>
      <c r="M1124" s="57"/>
      <c r="O1124" s="69"/>
      <c r="P1124" s="57"/>
    </row>
    <row r="1125" spans="1:16" x14ac:dyDescent="0.2">
      <c r="A1125" s="57"/>
      <c r="B1125" s="69"/>
      <c r="C1125" s="57"/>
      <c r="D1125" s="57"/>
      <c r="E1125" s="57"/>
      <c r="F1125" s="57"/>
      <c r="G1125" s="57"/>
      <c r="H1125" s="57"/>
      <c r="I1125" s="57"/>
      <c r="J1125" s="57"/>
      <c r="K1125" s="57"/>
      <c r="L1125" s="57"/>
      <c r="M1125" s="57"/>
      <c r="O1125" s="69"/>
      <c r="P1125" s="57"/>
    </row>
    <row r="1126" spans="1:16" x14ac:dyDescent="0.2">
      <c r="A1126" s="57"/>
      <c r="B1126" s="69"/>
      <c r="C1126" s="57"/>
      <c r="D1126" s="57"/>
      <c r="E1126" s="57"/>
      <c r="F1126" s="57"/>
      <c r="G1126" s="57"/>
      <c r="H1126" s="57"/>
      <c r="I1126" s="57"/>
      <c r="J1126" s="57"/>
      <c r="K1126" s="57"/>
      <c r="L1126" s="57"/>
      <c r="M1126" s="57"/>
      <c r="O1126" s="69"/>
      <c r="P1126" s="57"/>
    </row>
    <row r="1127" spans="1:16" x14ac:dyDescent="0.2">
      <c r="A1127" s="57"/>
      <c r="B1127" s="69"/>
      <c r="C1127" s="57"/>
      <c r="D1127" s="57"/>
      <c r="E1127" s="57"/>
      <c r="F1127" s="57"/>
      <c r="G1127" s="57"/>
      <c r="H1127" s="57"/>
      <c r="I1127" s="57"/>
      <c r="J1127" s="57"/>
      <c r="K1127" s="57"/>
      <c r="L1127" s="57"/>
      <c r="M1127" s="57"/>
      <c r="O1127" s="69"/>
      <c r="P1127" s="57"/>
    </row>
    <row r="1128" spans="1:16" x14ac:dyDescent="0.2">
      <c r="A1128" s="57"/>
      <c r="B1128" s="69"/>
      <c r="C1128" s="57"/>
      <c r="D1128" s="57"/>
      <c r="E1128" s="57"/>
      <c r="F1128" s="57"/>
      <c r="G1128" s="57"/>
      <c r="H1128" s="57"/>
      <c r="I1128" s="57"/>
      <c r="J1128" s="57"/>
      <c r="K1128" s="57"/>
      <c r="L1128" s="57"/>
      <c r="M1128" s="57"/>
      <c r="O1128" s="69"/>
      <c r="P1128" s="57"/>
    </row>
    <row r="1129" spans="1:16" x14ac:dyDescent="0.2">
      <c r="A1129" s="57"/>
      <c r="B1129" s="69"/>
      <c r="C1129" s="57"/>
      <c r="D1129" s="57"/>
      <c r="E1129" s="57"/>
      <c r="F1129" s="57"/>
      <c r="G1129" s="57"/>
      <c r="H1129" s="57"/>
      <c r="I1129" s="57"/>
      <c r="J1129" s="57"/>
      <c r="K1129" s="57"/>
      <c r="L1129" s="57"/>
      <c r="M1129" s="57"/>
      <c r="O1129" s="69"/>
      <c r="P1129" s="57"/>
    </row>
    <row r="1130" spans="1:16" x14ac:dyDescent="0.2">
      <c r="A1130" s="57"/>
      <c r="B1130" s="69"/>
      <c r="C1130" s="57"/>
      <c r="D1130" s="57"/>
      <c r="E1130" s="57"/>
      <c r="F1130" s="57"/>
      <c r="G1130" s="57"/>
      <c r="H1130" s="57"/>
      <c r="I1130" s="57"/>
      <c r="J1130" s="57"/>
      <c r="K1130" s="57"/>
      <c r="L1130" s="57"/>
      <c r="M1130" s="57"/>
      <c r="O1130" s="69"/>
      <c r="P1130" s="57"/>
    </row>
    <row r="1131" spans="1:16" x14ac:dyDescent="0.2">
      <c r="A1131" s="57"/>
      <c r="B1131" s="69"/>
      <c r="C1131" s="57"/>
      <c r="D1131" s="57"/>
      <c r="E1131" s="57"/>
      <c r="F1131" s="57"/>
      <c r="G1131" s="57"/>
      <c r="H1131" s="57"/>
      <c r="I1131" s="57"/>
      <c r="J1131" s="57"/>
      <c r="K1131" s="57"/>
      <c r="L1131" s="57"/>
      <c r="M1131" s="57"/>
      <c r="O1131" s="69"/>
      <c r="P1131" s="57"/>
    </row>
    <row r="1132" spans="1:16" x14ac:dyDescent="0.2">
      <c r="A1132" s="57"/>
      <c r="B1132" s="69"/>
      <c r="C1132" s="57"/>
      <c r="D1132" s="57"/>
      <c r="E1132" s="57"/>
      <c r="F1132" s="57"/>
      <c r="G1132" s="57"/>
      <c r="H1132" s="57"/>
      <c r="I1132" s="57"/>
      <c r="J1132" s="57"/>
      <c r="K1132" s="57"/>
      <c r="L1132" s="57"/>
      <c r="M1132" s="57"/>
      <c r="O1132" s="69"/>
      <c r="P1132" s="57"/>
    </row>
    <row r="1133" spans="1:16" x14ac:dyDescent="0.2">
      <c r="A1133" s="57"/>
      <c r="B1133" s="69"/>
      <c r="C1133" s="57"/>
      <c r="D1133" s="57"/>
      <c r="E1133" s="57"/>
      <c r="F1133" s="57"/>
      <c r="G1133" s="57"/>
      <c r="H1133" s="57"/>
      <c r="I1133" s="57"/>
      <c r="J1133" s="57"/>
      <c r="K1133" s="57"/>
      <c r="L1133" s="57"/>
      <c r="M1133" s="57"/>
      <c r="O1133" s="69"/>
      <c r="P1133" s="57"/>
    </row>
    <row r="1134" spans="1:16" x14ac:dyDescent="0.2">
      <c r="A1134" s="57"/>
      <c r="B1134" s="69"/>
      <c r="C1134" s="57"/>
      <c r="D1134" s="57"/>
      <c r="E1134" s="57"/>
      <c r="F1134" s="57"/>
      <c r="G1134" s="57"/>
      <c r="H1134" s="57"/>
      <c r="I1134" s="57"/>
      <c r="J1134" s="57"/>
      <c r="K1134" s="57"/>
      <c r="L1134" s="57"/>
      <c r="M1134" s="57"/>
      <c r="O1134" s="69"/>
      <c r="P1134" s="57"/>
    </row>
    <row r="1135" spans="1:16" x14ac:dyDescent="0.2">
      <c r="A1135" s="57"/>
      <c r="B1135" s="69"/>
      <c r="C1135" s="57"/>
      <c r="D1135" s="57"/>
      <c r="E1135" s="57"/>
      <c r="F1135" s="57"/>
      <c r="G1135" s="57"/>
      <c r="H1135" s="57"/>
      <c r="I1135" s="57"/>
      <c r="J1135" s="57"/>
      <c r="K1135" s="57"/>
      <c r="L1135" s="57"/>
      <c r="M1135" s="57"/>
      <c r="O1135" s="69"/>
      <c r="P1135" s="57"/>
    </row>
    <row r="1136" spans="1:16" x14ac:dyDescent="0.2">
      <c r="A1136" s="57"/>
      <c r="B1136" s="69"/>
      <c r="C1136" s="57"/>
      <c r="D1136" s="57"/>
      <c r="E1136" s="57"/>
      <c r="F1136" s="57"/>
      <c r="G1136" s="57"/>
      <c r="H1136" s="57"/>
      <c r="I1136" s="57"/>
      <c r="J1136" s="57"/>
      <c r="K1136" s="57"/>
      <c r="L1136" s="57"/>
      <c r="M1136" s="57"/>
      <c r="O1136" s="69"/>
      <c r="P1136" s="57"/>
    </row>
    <row r="1137" spans="1:16" x14ac:dyDescent="0.2">
      <c r="A1137" s="57"/>
      <c r="B1137" s="69"/>
      <c r="C1137" s="57"/>
      <c r="D1137" s="57"/>
      <c r="E1137" s="57"/>
      <c r="F1137" s="57"/>
      <c r="G1137" s="57"/>
      <c r="H1137" s="57"/>
      <c r="I1137" s="57"/>
      <c r="J1137" s="57"/>
      <c r="K1137" s="57"/>
      <c r="L1137" s="57"/>
      <c r="M1137" s="57"/>
      <c r="O1137" s="69"/>
      <c r="P1137" s="57"/>
    </row>
    <row r="1138" spans="1:16" x14ac:dyDescent="0.2">
      <c r="A1138" s="57"/>
      <c r="B1138" s="69"/>
      <c r="C1138" s="57"/>
      <c r="D1138" s="57"/>
      <c r="E1138" s="57"/>
      <c r="F1138" s="57"/>
      <c r="G1138" s="57"/>
      <c r="H1138" s="57"/>
      <c r="I1138" s="57"/>
      <c r="J1138" s="57"/>
      <c r="K1138" s="57"/>
      <c r="L1138" s="57"/>
      <c r="M1138" s="57"/>
      <c r="O1138" s="69"/>
      <c r="P1138" s="57"/>
    </row>
    <row r="1139" spans="1:16" x14ac:dyDescent="0.2">
      <c r="A1139" s="57"/>
      <c r="B1139" s="69"/>
      <c r="C1139" s="57"/>
      <c r="D1139" s="57"/>
      <c r="E1139" s="57"/>
      <c r="F1139" s="57"/>
      <c r="G1139" s="57"/>
      <c r="H1139" s="57"/>
      <c r="I1139" s="57"/>
      <c r="J1139" s="57"/>
      <c r="K1139" s="57"/>
      <c r="L1139" s="57"/>
      <c r="M1139" s="57"/>
      <c r="O1139" s="69"/>
      <c r="P1139" s="57"/>
    </row>
    <row r="1140" spans="1:16" x14ac:dyDescent="0.2">
      <c r="A1140" s="57"/>
      <c r="B1140" s="69"/>
      <c r="C1140" s="57"/>
      <c r="D1140" s="57"/>
      <c r="E1140" s="57"/>
      <c r="F1140" s="57"/>
      <c r="G1140" s="57"/>
      <c r="H1140" s="57"/>
      <c r="I1140" s="57"/>
      <c r="J1140" s="57"/>
      <c r="K1140" s="57"/>
      <c r="L1140" s="57"/>
      <c r="M1140" s="57"/>
      <c r="O1140" s="69"/>
      <c r="P1140" s="57"/>
    </row>
    <row r="1141" spans="1:16" x14ac:dyDescent="0.2">
      <c r="A1141" s="57"/>
      <c r="B1141" s="69"/>
      <c r="C1141" s="57"/>
      <c r="D1141" s="57"/>
      <c r="E1141" s="57"/>
      <c r="F1141" s="57"/>
      <c r="G1141" s="57"/>
      <c r="H1141" s="57"/>
      <c r="I1141" s="57"/>
      <c r="J1141" s="57"/>
      <c r="K1141" s="57"/>
      <c r="L1141" s="57"/>
      <c r="M1141" s="57"/>
      <c r="O1141" s="69"/>
      <c r="P1141" s="57"/>
    </row>
    <row r="1142" spans="1:16" x14ac:dyDescent="0.2">
      <c r="A1142" s="57"/>
      <c r="B1142" s="69"/>
      <c r="C1142" s="57"/>
      <c r="D1142" s="57"/>
      <c r="E1142" s="57"/>
      <c r="F1142" s="57"/>
      <c r="G1142" s="57"/>
      <c r="H1142" s="57"/>
      <c r="I1142" s="57"/>
      <c r="J1142" s="57"/>
      <c r="K1142" s="57"/>
      <c r="L1142" s="57"/>
      <c r="M1142" s="57"/>
      <c r="O1142" s="69"/>
      <c r="P1142" s="57"/>
    </row>
    <row r="1143" spans="1:16" x14ac:dyDescent="0.2">
      <c r="A1143" s="57"/>
      <c r="B1143" s="69"/>
      <c r="C1143" s="57"/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O1143" s="69"/>
      <c r="P1143" s="57"/>
    </row>
    <row r="1144" spans="1:16" x14ac:dyDescent="0.2">
      <c r="A1144" s="57"/>
      <c r="B1144" s="69"/>
      <c r="C1144" s="57"/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O1144" s="69"/>
      <c r="P1144" s="57"/>
    </row>
    <row r="1145" spans="1:16" x14ac:dyDescent="0.2">
      <c r="A1145" s="57"/>
      <c r="B1145" s="69"/>
      <c r="C1145" s="57"/>
      <c r="D1145" s="57"/>
      <c r="E1145" s="57"/>
      <c r="F1145" s="57"/>
      <c r="G1145" s="57"/>
      <c r="H1145" s="57"/>
      <c r="I1145" s="57"/>
      <c r="J1145" s="57"/>
      <c r="K1145" s="57"/>
      <c r="L1145" s="57"/>
      <c r="M1145" s="57"/>
      <c r="O1145" s="69"/>
      <c r="P1145" s="57"/>
    </row>
    <row r="1146" spans="1:16" x14ac:dyDescent="0.2">
      <c r="A1146" s="57"/>
      <c r="B1146" s="69"/>
      <c r="C1146" s="57"/>
      <c r="D1146" s="57"/>
      <c r="E1146" s="57"/>
      <c r="F1146" s="57"/>
      <c r="G1146" s="57"/>
      <c r="H1146" s="57"/>
      <c r="I1146" s="57"/>
      <c r="J1146" s="57"/>
      <c r="K1146" s="57"/>
      <c r="L1146" s="57"/>
      <c r="M1146" s="57"/>
      <c r="O1146" s="69"/>
      <c r="P1146" s="57"/>
    </row>
    <row r="1147" spans="1:16" x14ac:dyDescent="0.2">
      <c r="A1147" s="57"/>
      <c r="B1147" s="69"/>
      <c r="C1147" s="57"/>
      <c r="D1147" s="57"/>
      <c r="E1147" s="57"/>
      <c r="F1147" s="57"/>
      <c r="G1147" s="57"/>
      <c r="H1147" s="57"/>
      <c r="I1147" s="57"/>
      <c r="J1147" s="57"/>
      <c r="K1147" s="57"/>
      <c r="L1147" s="57"/>
      <c r="M1147" s="57"/>
      <c r="O1147" s="69"/>
      <c r="P1147" s="57"/>
    </row>
    <row r="1148" spans="1:16" x14ac:dyDescent="0.2">
      <c r="A1148" s="57"/>
      <c r="B1148" s="69"/>
      <c r="C1148" s="57"/>
      <c r="D1148" s="57"/>
      <c r="E1148" s="57"/>
      <c r="F1148" s="57"/>
      <c r="G1148" s="57"/>
      <c r="H1148" s="57"/>
      <c r="I1148" s="57"/>
      <c r="J1148" s="57"/>
      <c r="K1148" s="57"/>
      <c r="L1148" s="57"/>
      <c r="M1148" s="57"/>
      <c r="O1148" s="69"/>
      <c r="P1148" s="57"/>
    </row>
    <row r="1149" spans="1:16" x14ac:dyDescent="0.2">
      <c r="A1149" s="57"/>
      <c r="B1149" s="69"/>
      <c r="C1149" s="57"/>
      <c r="D1149" s="57"/>
      <c r="E1149" s="57"/>
      <c r="F1149" s="57"/>
      <c r="G1149" s="57"/>
      <c r="H1149" s="57"/>
      <c r="I1149" s="57"/>
      <c r="J1149" s="57"/>
      <c r="K1149" s="57"/>
      <c r="L1149" s="57"/>
      <c r="M1149" s="57"/>
      <c r="O1149" s="69"/>
      <c r="P1149" s="57"/>
    </row>
    <row r="1150" spans="1:16" x14ac:dyDescent="0.2">
      <c r="A1150" s="57"/>
      <c r="B1150" s="69"/>
      <c r="C1150" s="57"/>
      <c r="D1150" s="57"/>
      <c r="E1150" s="57"/>
      <c r="F1150" s="57"/>
      <c r="G1150" s="57"/>
      <c r="H1150" s="57"/>
      <c r="I1150" s="57"/>
      <c r="J1150" s="57"/>
      <c r="K1150" s="57"/>
      <c r="L1150" s="57"/>
      <c r="M1150" s="57"/>
      <c r="O1150" s="69"/>
      <c r="P1150" s="57"/>
    </row>
    <row r="1151" spans="1:16" x14ac:dyDescent="0.2">
      <c r="A1151" s="57"/>
      <c r="B1151" s="69"/>
      <c r="C1151" s="57"/>
      <c r="D1151" s="57"/>
      <c r="E1151" s="57"/>
      <c r="F1151" s="57"/>
      <c r="G1151" s="57"/>
      <c r="H1151" s="57"/>
      <c r="I1151" s="57"/>
      <c r="J1151" s="57"/>
      <c r="K1151" s="57"/>
      <c r="L1151" s="57"/>
      <c r="M1151" s="57"/>
      <c r="O1151" s="69"/>
      <c r="P1151" s="57"/>
    </row>
    <row r="1152" spans="1:16" x14ac:dyDescent="0.2">
      <c r="A1152" s="57"/>
      <c r="B1152" s="69"/>
      <c r="C1152" s="57"/>
      <c r="D1152" s="57"/>
      <c r="E1152" s="57"/>
      <c r="F1152" s="57"/>
      <c r="G1152" s="57"/>
      <c r="H1152" s="57"/>
      <c r="I1152" s="57"/>
      <c r="J1152" s="57"/>
      <c r="K1152" s="57"/>
      <c r="L1152" s="57"/>
      <c r="M1152" s="57"/>
      <c r="O1152" s="69"/>
      <c r="P1152" s="57"/>
    </row>
    <row r="1153" spans="1:16" x14ac:dyDescent="0.2">
      <c r="A1153" s="57"/>
      <c r="B1153" s="69"/>
      <c r="C1153" s="57"/>
      <c r="D1153" s="57"/>
      <c r="E1153" s="57"/>
      <c r="F1153" s="57"/>
      <c r="G1153" s="57"/>
      <c r="H1153" s="57"/>
      <c r="I1153" s="57"/>
      <c r="J1153" s="57"/>
      <c r="K1153" s="57"/>
      <c r="L1153" s="57"/>
      <c r="M1153" s="57"/>
      <c r="O1153" s="69"/>
      <c r="P1153" s="57"/>
    </row>
    <row r="1154" spans="1:16" x14ac:dyDescent="0.2">
      <c r="A1154" s="57"/>
      <c r="B1154" s="69"/>
      <c r="C1154" s="57"/>
      <c r="D1154" s="57"/>
      <c r="E1154" s="57"/>
      <c r="F1154" s="57"/>
      <c r="G1154" s="57"/>
      <c r="H1154" s="57"/>
      <c r="I1154" s="57"/>
      <c r="J1154" s="57"/>
      <c r="K1154" s="57"/>
      <c r="L1154" s="57"/>
      <c r="M1154" s="57"/>
      <c r="O1154" s="69"/>
      <c r="P1154" s="57"/>
    </row>
    <row r="1155" spans="1:16" x14ac:dyDescent="0.2">
      <c r="A1155" s="57"/>
      <c r="B1155" s="69"/>
      <c r="C1155" s="57"/>
      <c r="D1155" s="57"/>
      <c r="E1155" s="57"/>
      <c r="F1155" s="57"/>
      <c r="G1155" s="57"/>
      <c r="H1155" s="57"/>
      <c r="I1155" s="57"/>
      <c r="J1155" s="57"/>
      <c r="K1155" s="57"/>
      <c r="L1155" s="57"/>
      <c r="M1155" s="57"/>
      <c r="O1155" s="69"/>
      <c r="P1155" s="57"/>
    </row>
    <row r="1156" spans="1:16" x14ac:dyDescent="0.2">
      <c r="A1156" s="57"/>
      <c r="B1156" s="69"/>
      <c r="C1156" s="57"/>
      <c r="D1156" s="57"/>
      <c r="E1156" s="57"/>
      <c r="F1156" s="57"/>
      <c r="G1156" s="57"/>
      <c r="H1156" s="57"/>
      <c r="I1156" s="57"/>
      <c r="J1156" s="57"/>
      <c r="K1156" s="57"/>
      <c r="L1156" s="57"/>
      <c r="M1156" s="57"/>
      <c r="O1156" s="69"/>
      <c r="P1156" s="57"/>
    </row>
    <row r="1157" spans="1:16" x14ac:dyDescent="0.2">
      <c r="A1157" s="57"/>
      <c r="B1157" s="69"/>
      <c r="C1157" s="57"/>
      <c r="D1157" s="57"/>
      <c r="E1157" s="57"/>
      <c r="F1157" s="57"/>
      <c r="G1157" s="57"/>
      <c r="H1157" s="57"/>
      <c r="I1157" s="57"/>
      <c r="J1157" s="57"/>
      <c r="K1157" s="57"/>
      <c r="L1157" s="57"/>
      <c r="M1157" s="57"/>
      <c r="O1157" s="69"/>
      <c r="P1157" s="57"/>
    </row>
    <row r="1158" spans="1:16" x14ac:dyDescent="0.2">
      <c r="A1158" s="57"/>
      <c r="B1158" s="69"/>
      <c r="C1158" s="57"/>
      <c r="D1158" s="57"/>
      <c r="E1158" s="57"/>
      <c r="F1158" s="57"/>
      <c r="G1158" s="57"/>
      <c r="H1158" s="57"/>
      <c r="I1158" s="57"/>
      <c r="J1158" s="57"/>
      <c r="K1158" s="57"/>
      <c r="L1158" s="57"/>
      <c r="M1158" s="57"/>
      <c r="O1158" s="69"/>
      <c r="P1158" s="57"/>
    </row>
    <row r="1159" spans="1:16" x14ac:dyDescent="0.2">
      <c r="A1159" s="57"/>
      <c r="B1159" s="69"/>
      <c r="C1159" s="57"/>
      <c r="D1159" s="57"/>
      <c r="E1159" s="57"/>
      <c r="F1159" s="57"/>
      <c r="G1159" s="57"/>
      <c r="H1159" s="57"/>
      <c r="I1159" s="57"/>
      <c r="J1159" s="57"/>
      <c r="K1159" s="57"/>
      <c r="L1159" s="57"/>
      <c r="M1159" s="57"/>
      <c r="O1159" s="69"/>
      <c r="P1159" s="57"/>
    </row>
    <row r="1160" spans="1:16" x14ac:dyDescent="0.2">
      <c r="A1160" s="57"/>
      <c r="B1160" s="69"/>
      <c r="C1160" s="57"/>
      <c r="D1160" s="57"/>
      <c r="E1160" s="57"/>
      <c r="F1160" s="57"/>
      <c r="G1160" s="57"/>
      <c r="H1160" s="57"/>
      <c r="I1160" s="57"/>
      <c r="J1160" s="57"/>
      <c r="K1160" s="57"/>
      <c r="L1160" s="57"/>
      <c r="M1160" s="57"/>
      <c r="O1160" s="69"/>
      <c r="P1160" s="57"/>
    </row>
    <row r="1161" spans="1:16" x14ac:dyDescent="0.2">
      <c r="A1161" s="57"/>
      <c r="B1161" s="69"/>
      <c r="C1161" s="57"/>
      <c r="D1161" s="57"/>
      <c r="E1161" s="57"/>
      <c r="F1161" s="57"/>
      <c r="G1161" s="57"/>
      <c r="H1161" s="57"/>
      <c r="I1161" s="57"/>
      <c r="J1161" s="57"/>
      <c r="K1161" s="57"/>
      <c r="L1161" s="57"/>
      <c r="M1161" s="57"/>
      <c r="O1161" s="69"/>
      <c r="P1161" s="57"/>
    </row>
    <row r="1162" spans="1:16" x14ac:dyDescent="0.2">
      <c r="A1162" s="57"/>
      <c r="B1162" s="69"/>
      <c r="C1162" s="57"/>
      <c r="D1162" s="57"/>
      <c r="E1162" s="57"/>
      <c r="F1162" s="57"/>
      <c r="G1162" s="57"/>
      <c r="H1162" s="57"/>
      <c r="I1162" s="57"/>
      <c r="J1162" s="57"/>
      <c r="K1162" s="57"/>
      <c r="L1162" s="57"/>
      <c r="M1162" s="57"/>
      <c r="O1162" s="69"/>
      <c r="P1162" s="57"/>
    </row>
    <row r="1163" spans="1:16" x14ac:dyDescent="0.2">
      <c r="A1163" s="57"/>
      <c r="B1163" s="69"/>
      <c r="C1163" s="57"/>
      <c r="D1163" s="57"/>
      <c r="E1163" s="57"/>
      <c r="F1163" s="57"/>
      <c r="G1163" s="57"/>
      <c r="H1163" s="57"/>
      <c r="I1163" s="57"/>
      <c r="J1163" s="57"/>
      <c r="K1163" s="57"/>
      <c r="L1163" s="57"/>
      <c r="M1163" s="57"/>
      <c r="O1163" s="69"/>
      <c r="P1163" s="57"/>
    </row>
    <row r="1164" spans="1:16" x14ac:dyDescent="0.2">
      <c r="A1164" s="57"/>
      <c r="B1164" s="69"/>
      <c r="C1164" s="57"/>
      <c r="D1164" s="57"/>
      <c r="E1164" s="57"/>
      <c r="F1164" s="57"/>
      <c r="G1164" s="57"/>
      <c r="H1164" s="57"/>
      <c r="I1164" s="57"/>
      <c r="J1164" s="57"/>
      <c r="K1164" s="57"/>
      <c r="L1164" s="57"/>
      <c r="M1164" s="57"/>
      <c r="O1164" s="69"/>
      <c r="P1164" s="57"/>
    </row>
    <row r="1165" spans="1:16" x14ac:dyDescent="0.2">
      <c r="A1165" s="57"/>
      <c r="B1165" s="69"/>
      <c r="C1165" s="57"/>
      <c r="D1165" s="57"/>
      <c r="E1165" s="57"/>
      <c r="F1165" s="57"/>
      <c r="G1165" s="57"/>
      <c r="H1165" s="57"/>
      <c r="I1165" s="57"/>
      <c r="J1165" s="57"/>
      <c r="K1165" s="57"/>
      <c r="L1165" s="57"/>
      <c r="M1165" s="57"/>
      <c r="O1165" s="69"/>
      <c r="P1165" s="57"/>
    </row>
    <row r="1166" spans="1:16" x14ac:dyDescent="0.2">
      <c r="A1166" s="57"/>
      <c r="B1166" s="69"/>
      <c r="C1166" s="57"/>
      <c r="D1166" s="57"/>
      <c r="E1166" s="57"/>
      <c r="F1166" s="57"/>
      <c r="G1166" s="57"/>
      <c r="H1166" s="57"/>
      <c r="I1166" s="57"/>
      <c r="J1166" s="57"/>
      <c r="K1166" s="57"/>
      <c r="L1166" s="57"/>
      <c r="M1166" s="57"/>
      <c r="O1166" s="69"/>
      <c r="P1166" s="57"/>
    </row>
    <row r="1167" spans="1:16" x14ac:dyDescent="0.2">
      <c r="A1167" s="57"/>
      <c r="B1167" s="69"/>
      <c r="C1167" s="57"/>
      <c r="D1167" s="57"/>
      <c r="E1167" s="57"/>
      <c r="F1167" s="57"/>
      <c r="G1167" s="57"/>
      <c r="H1167" s="57"/>
      <c r="I1167" s="57"/>
      <c r="J1167" s="57"/>
      <c r="K1167" s="57"/>
      <c r="L1167" s="57"/>
      <c r="M1167" s="57"/>
      <c r="O1167" s="69"/>
      <c r="P1167" s="57"/>
    </row>
    <row r="1168" spans="1:16" x14ac:dyDescent="0.2">
      <c r="A1168" s="57"/>
      <c r="B1168" s="69"/>
      <c r="C1168" s="57"/>
      <c r="D1168" s="57"/>
      <c r="E1168" s="57"/>
      <c r="F1168" s="57"/>
      <c r="G1168" s="57"/>
      <c r="H1168" s="57"/>
      <c r="I1168" s="57"/>
      <c r="J1168" s="57"/>
      <c r="K1168" s="57"/>
      <c r="L1168" s="57"/>
      <c r="M1168" s="57"/>
      <c r="O1168" s="69"/>
      <c r="P1168" s="57"/>
    </row>
    <row r="1169" spans="1:16" x14ac:dyDescent="0.2">
      <c r="A1169" s="57"/>
      <c r="B1169" s="69"/>
      <c r="C1169" s="57"/>
      <c r="D1169" s="57"/>
      <c r="E1169" s="57"/>
      <c r="F1169" s="57"/>
      <c r="G1169" s="57"/>
      <c r="H1169" s="57"/>
      <c r="I1169" s="57"/>
      <c r="J1169" s="57"/>
      <c r="K1169" s="57"/>
      <c r="L1169" s="57"/>
      <c r="M1169" s="57"/>
      <c r="O1169" s="69"/>
      <c r="P1169" s="57"/>
    </row>
    <row r="1170" spans="1:16" x14ac:dyDescent="0.2">
      <c r="A1170" s="57"/>
      <c r="B1170" s="69"/>
      <c r="C1170" s="57"/>
      <c r="D1170" s="57"/>
      <c r="E1170" s="57"/>
      <c r="F1170" s="57"/>
      <c r="G1170" s="57"/>
      <c r="H1170" s="57"/>
      <c r="I1170" s="57"/>
      <c r="J1170" s="57"/>
      <c r="K1170" s="57"/>
      <c r="L1170" s="57"/>
      <c r="M1170" s="57"/>
      <c r="O1170" s="69"/>
      <c r="P1170" s="57"/>
    </row>
    <row r="1171" spans="1:16" x14ac:dyDescent="0.2">
      <c r="A1171" s="57"/>
      <c r="B1171" s="69"/>
      <c r="C1171" s="57"/>
      <c r="D1171" s="57"/>
      <c r="E1171" s="57"/>
      <c r="F1171" s="57"/>
      <c r="G1171" s="57"/>
      <c r="H1171" s="57"/>
      <c r="I1171" s="57"/>
      <c r="J1171" s="57"/>
      <c r="K1171" s="57"/>
      <c r="L1171" s="57"/>
      <c r="M1171" s="57"/>
      <c r="O1171" s="69"/>
      <c r="P1171" s="57"/>
    </row>
    <row r="1172" spans="1:16" x14ac:dyDescent="0.2">
      <c r="A1172" s="57"/>
      <c r="B1172" s="69"/>
      <c r="C1172" s="57"/>
      <c r="D1172" s="57"/>
      <c r="E1172" s="57"/>
      <c r="F1172" s="57"/>
      <c r="G1172" s="57"/>
      <c r="H1172" s="57"/>
      <c r="I1172" s="57"/>
      <c r="J1172" s="57"/>
      <c r="K1172" s="57"/>
      <c r="L1172" s="57"/>
      <c r="M1172" s="57"/>
      <c r="O1172" s="69"/>
      <c r="P1172" s="57"/>
    </row>
    <row r="1173" spans="1:16" x14ac:dyDescent="0.2">
      <c r="A1173" s="57"/>
      <c r="B1173" s="69"/>
      <c r="C1173" s="57"/>
      <c r="D1173" s="57"/>
      <c r="E1173" s="57"/>
      <c r="F1173" s="57"/>
      <c r="G1173" s="57"/>
      <c r="H1173" s="57"/>
      <c r="I1173" s="57"/>
      <c r="J1173" s="57"/>
      <c r="K1173" s="57"/>
      <c r="L1173" s="57"/>
      <c r="M1173" s="57"/>
      <c r="O1173" s="69"/>
      <c r="P1173" s="57"/>
    </row>
    <row r="1174" spans="1:16" x14ac:dyDescent="0.2">
      <c r="A1174" s="57"/>
      <c r="B1174" s="69"/>
      <c r="C1174" s="57"/>
      <c r="D1174" s="57"/>
      <c r="E1174" s="57"/>
      <c r="F1174" s="57"/>
      <c r="G1174" s="57"/>
      <c r="H1174" s="57"/>
      <c r="I1174" s="57"/>
      <c r="J1174" s="57"/>
      <c r="K1174" s="57"/>
      <c r="L1174" s="57"/>
      <c r="M1174" s="57"/>
      <c r="O1174" s="69"/>
      <c r="P1174" s="57"/>
    </row>
    <row r="1175" spans="1:16" x14ac:dyDescent="0.2">
      <c r="A1175" s="57"/>
      <c r="B1175" s="69"/>
      <c r="C1175" s="57"/>
      <c r="D1175" s="57"/>
      <c r="E1175" s="57"/>
      <c r="F1175" s="57"/>
      <c r="G1175" s="57"/>
      <c r="H1175" s="57"/>
      <c r="I1175" s="57"/>
      <c r="J1175" s="57"/>
      <c r="K1175" s="57"/>
      <c r="L1175" s="57"/>
      <c r="M1175" s="57"/>
      <c r="O1175" s="69"/>
      <c r="P1175" s="57"/>
    </row>
    <row r="1176" spans="1:16" x14ac:dyDescent="0.2">
      <c r="A1176" s="57"/>
      <c r="B1176" s="69"/>
      <c r="C1176" s="57"/>
      <c r="D1176" s="57"/>
      <c r="E1176" s="57"/>
      <c r="F1176" s="57"/>
      <c r="G1176" s="57"/>
      <c r="H1176" s="57"/>
      <c r="I1176" s="57"/>
      <c r="J1176" s="57"/>
      <c r="K1176" s="57"/>
      <c r="L1176" s="57"/>
      <c r="M1176" s="57"/>
      <c r="O1176" s="69"/>
      <c r="P1176" s="57"/>
    </row>
    <row r="1177" spans="1:16" x14ac:dyDescent="0.2">
      <c r="A1177" s="57"/>
      <c r="B1177" s="69"/>
      <c r="C1177" s="57"/>
      <c r="D1177" s="57"/>
      <c r="E1177" s="57"/>
      <c r="F1177" s="57"/>
      <c r="G1177" s="57"/>
      <c r="H1177" s="57"/>
      <c r="I1177" s="57"/>
      <c r="J1177" s="57"/>
      <c r="K1177" s="57"/>
      <c r="L1177" s="57"/>
      <c r="M1177" s="57"/>
      <c r="O1177" s="69"/>
      <c r="P1177" s="57"/>
    </row>
    <row r="1178" spans="1:16" x14ac:dyDescent="0.2">
      <c r="A1178" s="57"/>
      <c r="B1178" s="69"/>
      <c r="C1178" s="57"/>
      <c r="D1178" s="57"/>
      <c r="E1178" s="57"/>
      <c r="F1178" s="57"/>
      <c r="G1178" s="57"/>
      <c r="H1178" s="57"/>
      <c r="I1178" s="57"/>
      <c r="J1178" s="57"/>
      <c r="K1178" s="57"/>
      <c r="L1178" s="57"/>
      <c r="M1178" s="57"/>
      <c r="O1178" s="69"/>
      <c r="P1178" s="57"/>
    </row>
    <row r="1179" spans="1:16" x14ac:dyDescent="0.2">
      <c r="A1179" s="57"/>
      <c r="B1179" s="69"/>
      <c r="C1179" s="57"/>
      <c r="D1179" s="57"/>
      <c r="E1179" s="57"/>
      <c r="F1179" s="57"/>
      <c r="G1179" s="57"/>
      <c r="H1179" s="57"/>
      <c r="I1179" s="57"/>
      <c r="J1179" s="57"/>
      <c r="K1179" s="57"/>
      <c r="L1179" s="57"/>
      <c r="M1179" s="57"/>
      <c r="O1179" s="69"/>
      <c r="P1179" s="57"/>
    </row>
    <row r="1180" spans="1:16" x14ac:dyDescent="0.2">
      <c r="A1180" s="57"/>
      <c r="B1180" s="69"/>
      <c r="C1180" s="57"/>
      <c r="D1180" s="57"/>
      <c r="E1180" s="57"/>
      <c r="F1180" s="57"/>
      <c r="G1180" s="57"/>
      <c r="H1180" s="57"/>
      <c r="I1180" s="57"/>
      <c r="J1180" s="57"/>
      <c r="K1180" s="57"/>
      <c r="L1180" s="57"/>
      <c r="M1180" s="57"/>
      <c r="O1180" s="69"/>
      <c r="P1180" s="57"/>
    </row>
    <row r="1181" spans="1:16" x14ac:dyDescent="0.2">
      <c r="A1181" s="57"/>
      <c r="B1181" s="69"/>
      <c r="C1181" s="57"/>
      <c r="D1181" s="57"/>
      <c r="E1181" s="57"/>
      <c r="F1181" s="57"/>
      <c r="G1181" s="57"/>
      <c r="H1181" s="57"/>
      <c r="I1181" s="57"/>
      <c r="J1181" s="57"/>
      <c r="K1181" s="57"/>
      <c r="L1181" s="57"/>
      <c r="M1181" s="57"/>
      <c r="O1181" s="69"/>
      <c r="P1181" s="57"/>
    </row>
    <row r="1182" spans="1:16" x14ac:dyDescent="0.2">
      <c r="A1182" s="57"/>
      <c r="B1182" s="69"/>
      <c r="C1182" s="57"/>
      <c r="D1182" s="57"/>
      <c r="E1182" s="57"/>
      <c r="F1182" s="57"/>
      <c r="G1182" s="57"/>
      <c r="H1182" s="57"/>
      <c r="I1182" s="57"/>
      <c r="J1182" s="57"/>
      <c r="K1182" s="57"/>
      <c r="L1182" s="57"/>
      <c r="M1182" s="57"/>
      <c r="O1182" s="69"/>
      <c r="P1182" s="57"/>
    </row>
    <row r="1183" spans="1:16" x14ac:dyDescent="0.2">
      <c r="A1183" s="57"/>
      <c r="B1183" s="69"/>
      <c r="C1183" s="57"/>
      <c r="D1183" s="57"/>
      <c r="E1183" s="57"/>
      <c r="F1183" s="57"/>
      <c r="G1183" s="57"/>
      <c r="H1183" s="57"/>
      <c r="I1183" s="57"/>
      <c r="J1183" s="57"/>
      <c r="K1183" s="57"/>
      <c r="L1183" s="57"/>
      <c r="M1183" s="57"/>
      <c r="O1183" s="69"/>
      <c r="P1183" s="57"/>
    </row>
    <row r="1184" spans="1:16" x14ac:dyDescent="0.2">
      <c r="A1184" s="57"/>
      <c r="B1184" s="69"/>
      <c r="C1184" s="57"/>
      <c r="D1184" s="57"/>
      <c r="E1184" s="57"/>
      <c r="F1184" s="57"/>
      <c r="G1184" s="57"/>
      <c r="H1184" s="57"/>
      <c r="I1184" s="57"/>
      <c r="J1184" s="57"/>
      <c r="K1184" s="57"/>
      <c r="L1184" s="57"/>
      <c r="M1184" s="57"/>
      <c r="O1184" s="69"/>
      <c r="P1184" s="57"/>
    </row>
    <row r="1185" spans="1:16" x14ac:dyDescent="0.2">
      <c r="A1185" s="57"/>
      <c r="B1185" s="69"/>
      <c r="C1185" s="57"/>
      <c r="D1185" s="57"/>
      <c r="E1185" s="57"/>
      <c r="F1185" s="57"/>
      <c r="G1185" s="57"/>
      <c r="H1185" s="57"/>
      <c r="I1185" s="57"/>
      <c r="J1185" s="57"/>
      <c r="K1185" s="57"/>
      <c r="L1185" s="57"/>
      <c r="M1185" s="57"/>
      <c r="O1185" s="69"/>
      <c r="P1185" s="57"/>
    </row>
    <row r="1186" spans="1:16" x14ac:dyDescent="0.2">
      <c r="A1186" s="57"/>
      <c r="B1186" s="69"/>
      <c r="C1186" s="57"/>
      <c r="D1186" s="57"/>
      <c r="E1186" s="57"/>
      <c r="F1186" s="57"/>
      <c r="G1186" s="57"/>
      <c r="H1186" s="57"/>
      <c r="I1186" s="57"/>
      <c r="J1186" s="57"/>
      <c r="K1186" s="57"/>
      <c r="L1186" s="57"/>
      <c r="M1186" s="57"/>
      <c r="O1186" s="69"/>
      <c r="P1186" s="57"/>
    </row>
    <row r="1187" spans="1:16" x14ac:dyDescent="0.2">
      <c r="A1187" s="57"/>
      <c r="B1187" s="69"/>
      <c r="C1187" s="57"/>
      <c r="D1187" s="57"/>
      <c r="E1187" s="57"/>
      <c r="F1187" s="57"/>
      <c r="G1187" s="57"/>
      <c r="H1187" s="57"/>
      <c r="I1187" s="57"/>
      <c r="J1187" s="57"/>
      <c r="K1187" s="57"/>
      <c r="L1187" s="57"/>
      <c r="M1187" s="57"/>
      <c r="O1187" s="69"/>
      <c r="P1187" s="57"/>
    </row>
    <row r="1188" spans="1:16" x14ac:dyDescent="0.2">
      <c r="A1188" s="57"/>
      <c r="B1188" s="69"/>
      <c r="C1188" s="57"/>
      <c r="D1188" s="57"/>
      <c r="E1188" s="57"/>
      <c r="F1188" s="57"/>
      <c r="G1188" s="57"/>
      <c r="H1188" s="57"/>
      <c r="I1188" s="57"/>
      <c r="J1188" s="57"/>
      <c r="K1188" s="57"/>
      <c r="L1188" s="57"/>
      <c r="M1188" s="57"/>
      <c r="O1188" s="69"/>
      <c r="P1188" s="57"/>
    </row>
    <row r="1189" spans="1:16" x14ac:dyDescent="0.2">
      <c r="A1189" s="57"/>
      <c r="B1189" s="69"/>
      <c r="C1189" s="57"/>
      <c r="D1189" s="57"/>
      <c r="E1189" s="57"/>
      <c r="F1189" s="57"/>
      <c r="G1189" s="57"/>
      <c r="H1189" s="57"/>
      <c r="I1189" s="57"/>
      <c r="J1189" s="57"/>
      <c r="K1189" s="57"/>
      <c r="L1189" s="57"/>
      <c r="M1189" s="57"/>
      <c r="O1189" s="69"/>
      <c r="P1189" s="57"/>
    </row>
    <row r="1190" spans="1:16" x14ac:dyDescent="0.2">
      <c r="A1190" s="57"/>
      <c r="B1190" s="69"/>
      <c r="C1190" s="57"/>
      <c r="D1190" s="57"/>
      <c r="E1190" s="57"/>
      <c r="F1190" s="57"/>
      <c r="G1190" s="57"/>
      <c r="H1190" s="57"/>
      <c r="I1190" s="57"/>
      <c r="J1190" s="57"/>
      <c r="K1190" s="57"/>
      <c r="L1190" s="57"/>
      <c r="M1190" s="57"/>
      <c r="O1190" s="69"/>
      <c r="P1190" s="57"/>
    </row>
    <row r="1191" spans="1:16" x14ac:dyDescent="0.2">
      <c r="A1191" s="57"/>
      <c r="B1191" s="69"/>
      <c r="C1191" s="57"/>
      <c r="D1191" s="57"/>
      <c r="E1191" s="57"/>
      <c r="F1191" s="57"/>
      <c r="G1191" s="57"/>
      <c r="H1191" s="57"/>
      <c r="I1191" s="57"/>
      <c r="J1191" s="57"/>
      <c r="K1191" s="57"/>
      <c r="L1191" s="57"/>
      <c r="M1191" s="57"/>
      <c r="O1191" s="69"/>
      <c r="P1191" s="57"/>
    </row>
    <row r="1192" spans="1:16" x14ac:dyDescent="0.2">
      <c r="A1192" s="57"/>
      <c r="B1192" s="69"/>
      <c r="C1192" s="57"/>
      <c r="D1192" s="57"/>
      <c r="E1192" s="57"/>
      <c r="F1192" s="57"/>
      <c r="G1192" s="57"/>
      <c r="H1192" s="57"/>
      <c r="I1192" s="57"/>
      <c r="J1192" s="57"/>
      <c r="K1192" s="57"/>
      <c r="L1192" s="57"/>
      <c r="M1192" s="57"/>
      <c r="O1192" s="69"/>
      <c r="P1192" s="57"/>
    </row>
    <row r="1193" spans="1:16" x14ac:dyDescent="0.2">
      <c r="A1193" s="57"/>
      <c r="B1193" s="69"/>
      <c r="C1193" s="57"/>
      <c r="D1193" s="57"/>
      <c r="E1193" s="57"/>
      <c r="F1193" s="57"/>
      <c r="G1193" s="57"/>
      <c r="H1193" s="57"/>
      <c r="I1193" s="57"/>
      <c r="J1193" s="57"/>
      <c r="K1193" s="57"/>
      <c r="L1193" s="57"/>
      <c r="M1193" s="57"/>
      <c r="O1193" s="69"/>
      <c r="P1193" s="57"/>
    </row>
    <row r="1194" spans="1:16" x14ac:dyDescent="0.2">
      <c r="A1194" s="57"/>
      <c r="B1194" s="69"/>
      <c r="C1194" s="57"/>
      <c r="D1194" s="57"/>
      <c r="E1194" s="57"/>
      <c r="F1194" s="57"/>
      <c r="G1194" s="57"/>
      <c r="H1194" s="57"/>
      <c r="I1194" s="57"/>
      <c r="J1194" s="57"/>
      <c r="K1194" s="57"/>
      <c r="L1194" s="57"/>
      <c r="M1194" s="57"/>
      <c r="O1194" s="69"/>
      <c r="P1194" s="57"/>
    </row>
    <row r="1195" spans="1:16" x14ac:dyDescent="0.2">
      <c r="A1195" s="57"/>
      <c r="B1195" s="69"/>
      <c r="C1195" s="57"/>
      <c r="D1195" s="57"/>
      <c r="E1195" s="57"/>
      <c r="F1195" s="57"/>
      <c r="G1195" s="57"/>
      <c r="H1195" s="57"/>
      <c r="I1195" s="57"/>
      <c r="J1195" s="57"/>
      <c r="K1195" s="57"/>
      <c r="L1195" s="57"/>
      <c r="M1195" s="57"/>
      <c r="O1195" s="69"/>
      <c r="P1195" s="57"/>
    </row>
    <row r="1196" spans="1:16" x14ac:dyDescent="0.2">
      <c r="A1196" s="57"/>
      <c r="B1196" s="69"/>
      <c r="C1196" s="57"/>
      <c r="D1196" s="57"/>
      <c r="E1196" s="57"/>
      <c r="F1196" s="57"/>
      <c r="G1196" s="57"/>
      <c r="H1196" s="57"/>
      <c r="I1196" s="57"/>
      <c r="J1196" s="57"/>
      <c r="K1196" s="57"/>
      <c r="L1196" s="57"/>
      <c r="M1196" s="57"/>
      <c r="O1196" s="69"/>
      <c r="P1196" s="57"/>
    </row>
    <row r="1197" spans="1:16" x14ac:dyDescent="0.2">
      <c r="A1197" s="57"/>
      <c r="B1197" s="69"/>
      <c r="C1197" s="57"/>
      <c r="D1197" s="57"/>
      <c r="E1197" s="57"/>
      <c r="F1197" s="57"/>
      <c r="G1197" s="57"/>
      <c r="H1197" s="57"/>
      <c r="I1197" s="57"/>
      <c r="J1197" s="57"/>
      <c r="K1197" s="57"/>
      <c r="L1197" s="57"/>
      <c r="M1197" s="57"/>
      <c r="O1197" s="69"/>
      <c r="P1197" s="57"/>
    </row>
    <row r="1198" spans="1:16" x14ac:dyDescent="0.2">
      <c r="A1198" s="57"/>
      <c r="B1198" s="69"/>
      <c r="C1198" s="57"/>
      <c r="D1198" s="57"/>
      <c r="E1198" s="57"/>
      <c r="F1198" s="57"/>
      <c r="G1198" s="57"/>
      <c r="H1198" s="57"/>
      <c r="I1198" s="57"/>
      <c r="J1198" s="57"/>
      <c r="K1198" s="57"/>
      <c r="L1198" s="57"/>
      <c r="M1198" s="57"/>
      <c r="O1198" s="69"/>
      <c r="P1198" s="57"/>
    </row>
    <row r="1199" spans="1:16" x14ac:dyDescent="0.2">
      <c r="A1199" s="57"/>
      <c r="B1199" s="69"/>
      <c r="C1199" s="57"/>
      <c r="D1199" s="57"/>
      <c r="E1199" s="57"/>
      <c r="F1199" s="57"/>
      <c r="G1199" s="57"/>
      <c r="H1199" s="57"/>
      <c r="I1199" s="57"/>
      <c r="J1199" s="57"/>
      <c r="K1199" s="57"/>
      <c r="L1199" s="57"/>
      <c r="M1199" s="57"/>
      <c r="O1199" s="69"/>
      <c r="P1199" s="57"/>
    </row>
    <row r="1200" spans="1:16" x14ac:dyDescent="0.2">
      <c r="A1200" s="57"/>
      <c r="B1200" s="69"/>
      <c r="C1200" s="57"/>
      <c r="D1200" s="57"/>
      <c r="E1200" s="57"/>
      <c r="F1200" s="57"/>
      <c r="G1200" s="57"/>
      <c r="H1200" s="57"/>
      <c r="I1200" s="57"/>
      <c r="J1200" s="57"/>
      <c r="K1200" s="57"/>
      <c r="L1200" s="57"/>
      <c r="M1200" s="57"/>
      <c r="O1200" s="69"/>
      <c r="P1200" s="57"/>
    </row>
    <row r="1201" spans="1:16" x14ac:dyDescent="0.2">
      <c r="A1201" s="57"/>
      <c r="B1201" s="69"/>
      <c r="C1201" s="57"/>
      <c r="D1201" s="57"/>
      <c r="E1201" s="57"/>
      <c r="F1201" s="57"/>
      <c r="G1201" s="57"/>
      <c r="H1201" s="57"/>
      <c r="I1201" s="57"/>
      <c r="J1201" s="57"/>
      <c r="K1201" s="57"/>
      <c r="L1201" s="57"/>
      <c r="M1201" s="57"/>
      <c r="O1201" s="69"/>
      <c r="P1201" s="57"/>
    </row>
    <row r="1202" spans="1:16" x14ac:dyDescent="0.2">
      <c r="A1202" s="57"/>
      <c r="B1202" s="69"/>
      <c r="C1202" s="57"/>
      <c r="D1202" s="57"/>
      <c r="E1202" s="57"/>
      <c r="F1202" s="57"/>
      <c r="G1202" s="57"/>
      <c r="H1202" s="57"/>
      <c r="I1202" s="57"/>
      <c r="J1202" s="57"/>
      <c r="K1202" s="57"/>
      <c r="L1202" s="57"/>
      <c r="M1202" s="57"/>
      <c r="O1202" s="69"/>
      <c r="P1202" s="57"/>
    </row>
    <row r="1203" spans="1:16" x14ac:dyDescent="0.2">
      <c r="A1203" s="57"/>
      <c r="B1203" s="69"/>
      <c r="C1203" s="57"/>
      <c r="D1203" s="57"/>
      <c r="E1203" s="57"/>
      <c r="F1203" s="57"/>
      <c r="G1203" s="57"/>
      <c r="H1203" s="57"/>
      <c r="I1203" s="57"/>
      <c r="J1203" s="57"/>
      <c r="K1203" s="57"/>
      <c r="L1203" s="57"/>
      <c r="M1203" s="57"/>
      <c r="O1203" s="69"/>
      <c r="P1203" s="57"/>
    </row>
    <row r="1204" spans="1:16" x14ac:dyDescent="0.2">
      <c r="A1204" s="57"/>
      <c r="B1204" s="69"/>
      <c r="C1204" s="57"/>
      <c r="D1204" s="57"/>
      <c r="E1204" s="57"/>
      <c r="F1204" s="57"/>
      <c r="G1204" s="57"/>
      <c r="H1204" s="57"/>
      <c r="I1204" s="57"/>
      <c r="J1204" s="57"/>
      <c r="K1204" s="57"/>
      <c r="L1204" s="57"/>
      <c r="M1204" s="57"/>
      <c r="O1204" s="69"/>
      <c r="P1204" s="57"/>
    </row>
    <row r="1205" spans="1:16" x14ac:dyDescent="0.2">
      <c r="A1205" s="57"/>
      <c r="B1205" s="69"/>
      <c r="C1205" s="57"/>
      <c r="D1205" s="57"/>
      <c r="E1205" s="57"/>
      <c r="F1205" s="57"/>
      <c r="G1205" s="57"/>
      <c r="H1205" s="57"/>
      <c r="I1205" s="57"/>
      <c r="J1205" s="57"/>
      <c r="K1205" s="57"/>
      <c r="L1205" s="57"/>
      <c r="M1205" s="57"/>
      <c r="O1205" s="69"/>
      <c r="P1205" s="57"/>
    </row>
    <row r="1206" spans="1:16" x14ac:dyDescent="0.2">
      <c r="A1206" s="57"/>
      <c r="B1206" s="69"/>
      <c r="C1206" s="57"/>
      <c r="D1206" s="57"/>
      <c r="E1206" s="57"/>
      <c r="F1206" s="57"/>
      <c r="G1206" s="57"/>
      <c r="H1206" s="57"/>
      <c r="I1206" s="57"/>
      <c r="J1206" s="57"/>
      <c r="K1206" s="57"/>
      <c r="L1206" s="57"/>
      <c r="M1206" s="57"/>
      <c r="O1206" s="69"/>
      <c r="P1206" s="57"/>
    </row>
    <row r="1207" spans="1:16" x14ac:dyDescent="0.2">
      <c r="A1207" s="57"/>
      <c r="B1207" s="69"/>
      <c r="C1207" s="57"/>
      <c r="D1207" s="57"/>
      <c r="E1207" s="57"/>
      <c r="F1207" s="57"/>
      <c r="G1207" s="57"/>
      <c r="H1207" s="57"/>
      <c r="I1207" s="57"/>
      <c r="J1207" s="57"/>
      <c r="K1207" s="57"/>
      <c r="L1207" s="57"/>
      <c r="M1207" s="57"/>
      <c r="O1207" s="69"/>
      <c r="P1207" s="57"/>
    </row>
    <row r="1208" spans="1:16" x14ac:dyDescent="0.2">
      <c r="A1208" s="57"/>
      <c r="B1208" s="69"/>
      <c r="C1208" s="57"/>
      <c r="D1208" s="57"/>
      <c r="E1208" s="57"/>
      <c r="F1208" s="57"/>
      <c r="G1208" s="57"/>
      <c r="H1208" s="57"/>
      <c r="I1208" s="57"/>
      <c r="J1208" s="57"/>
      <c r="K1208" s="57"/>
      <c r="L1208" s="57"/>
      <c r="M1208" s="57"/>
      <c r="O1208" s="69"/>
      <c r="P1208" s="57"/>
    </row>
    <row r="1209" spans="1:16" x14ac:dyDescent="0.2">
      <c r="A1209" s="57"/>
      <c r="B1209" s="69"/>
      <c r="C1209" s="57"/>
      <c r="D1209" s="57"/>
      <c r="E1209" s="57"/>
      <c r="F1209" s="57"/>
      <c r="G1209" s="57"/>
      <c r="H1209" s="57"/>
      <c r="I1209" s="57"/>
      <c r="J1209" s="57"/>
      <c r="K1209" s="57"/>
      <c r="L1209" s="57"/>
      <c r="M1209" s="57"/>
      <c r="O1209" s="69"/>
      <c r="P1209" s="57"/>
    </row>
    <row r="1210" spans="1:16" x14ac:dyDescent="0.2">
      <c r="A1210" s="57"/>
      <c r="B1210" s="69"/>
      <c r="C1210" s="57"/>
      <c r="D1210" s="57"/>
      <c r="E1210" s="57"/>
      <c r="F1210" s="57"/>
      <c r="G1210" s="57"/>
      <c r="H1210" s="57"/>
      <c r="I1210" s="57"/>
      <c r="J1210" s="57"/>
      <c r="K1210" s="57"/>
      <c r="L1210" s="57"/>
      <c r="M1210" s="57"/>
      <c r="O1210" s="69"/>
      <c r="P1210" s="57"/>
    </row>
    <row r="1211" spans="1:16" x14ac:dyDescent="0.2">
      <c r="A1211" s="57"/>
      <c r="B1211" s="69"/>
      <c r="C1211" s="57"/>
      <c r="D1211" s="57"/>
      <c r="E1211" s="57"/>
      <c r="F1211" s="57"/>
      <c r="G1211" s="57"/>
      <c r="H1211" s="57"/>
      <c r="I1211" s="57"/>
      <c r="J1211" s="57"/>
      <c r="K1211" s="57"/>
      <c r="L1211" s="57"/>
      <c r="M1211" s="57"/>
      <c r="O1211" s="69"/>
      <c r="P1211" s="57"/>
    </row>
    <row r="1212" spans="1:16" x14ac:dyDescent="0.2">
      <c r="A1212" s="57"/>
      <c r="B1212" s="69"/>
      <c r="C1212" s="57"/>
      <c r="D1212" s="57"/>
      <c r="E1212" s="57"/>
      <c r="F1212" s="57"/>
      <c r="G1212" s="57"/>
      <c r="H1212" s="57"/>
      <c r="I1212" s="57"/>
      <c r="J1212" s="57"/>
      <c r="K1212" s="57"/>
      <c r="L1212" s="57"/>
      <c r="M1212" s="57"/>
      <c r="O1212" s="69"/>
      <c r="P1212" s="57"/>
    </row>
    <row r="1213" spans="1:16" x14ac:dyDescent="0.2">
      <c r="A1213" s="57"/>
      <c r="B1213" s="69"/>
      <c r="C1213" s="57"/>
      <c r="D1213" s="57"/>
      <c r="E1213" s="57"/>
      <c r="F1213" s="57"/>
      <c r="G1213" s="57"/>
      <c r="H1213" s="57"/>
      <c r="I1213" s="57"/>
      <c r="J1213" s="57"/>
      <c r="K1213" s="57"/>
      <c r="L1213" s="57"/>
      <c r="M1213" s="57"/>
      <c r="O1213" s="69"/>
      <c r="P1213" s="57"/>
    </row>
    <row r="1214" spans="1:16" x14ac:dyDescent="0.2">
      <c r="A1214" s="57"/>
      <c r="B1214" s="69"/>
      <c r="C1214" s="57"/>
      <c r="D1214" s="57"/>
      <c r="E1214" s="57"/>
      <c r="F1214" s="57"/>
      <c r="G1214" s="57"/>
      <c r="H1214" s="57"/>
      <c r="I1214" s="57"/>
      <c r="J1214" s="57"/>
      <c r="K1214" s="57"/>
      <c r="L1214" s="57"/>
      <c r="M1214" s="57"/>
      <c r="O1214" s="69"/>
      <c r="P1214" s="57"/>
    </row>
    <row r="1215" spans="1:16" x14ac:dyDescent="0.2">
      <c r="A1215" s="57"/>
      <c r="B1215" s="69"/>
      <c r="C1215" s="57"/>
      <c r="D1215" s="57"/>
      <c r="E1215" s="57"/>
      <c r="F1215" s="57"/>
      <c r="G1215" s="57"/>
      <c r="H1215" s="57"/>
      <c r="I1215" s="57"/>
      <c r="J1215" s="57"/>
      <c r="K1215" s="57"/>
      <c r="L1215" s="57"/>
      <c r="M1215" s="57"/>
      <c r="O1215" s="69"/>
      <c r="P1215" s="57"/>
    </row>
    <row r="1216" spans="1:16" x14ac:dyDescent="0.2">
      <c r="A1216" s="57"/>
      <c r="B1216" s="69"/>
      <c r="C1216" s="57"/>
      <c r="D1216" s="57"/>
      <c r="E1216" s="57"/>
      <c r="F1216" s="57"/>
      <c r="G1216" s="57"/>
      <c r="H1216" s="57"/>
      <c r="I1216" s="57"/>
      <c r="J1216" s="57"/>
      <c r="K1216" s="57"/>
      <c r="L1216" s="57"/>
      <c r="M1216" s="57"/>
      <c r="O1216" s="69"/>
      <c r="P1216" s="57"/>
    </row>
    <row r="1217" spans="1:16" x14ac:dyDescent="0.2">
      <c r="A1217" s="57"/>
      <c r="B1217" s="69"/>
      <c r="C1217" s="57"/>
      <c r="D1217" s="57"/>
      <c r="E1217" s="57"/>
      <c r="F1217" s="57"/>
      <c r="G1217" s="57"/>
      <c r="H1217" s="57"/>
      <c r="I1217" s="57"/>
      <c r="J1217" s="57"/>
      <c r="K1217" s="57"/>
      <c r="L1217" s="57"/>
      <c r="M1217" s="57"/>
      <c r="O1217" s="69"/>
      <c r="P1217" s="57"/>
    </row>
    <row r="1218" spans="1:16" x14ac:dyDescent="0.2">
      <c r="A1218" s="57"/>
      <c r="B1218" s="69"/>
      <c r="C1218" s="57"/>
      <c r="D1218" s="57"/>
      <c r="E1218" s="57"/>
      <c r="F1218" s="57"/>
      <c r="G1218" s="57"/>
      <c r="H1218" s="57"/>
      <c r="I1218" s="57"/>
      <c r="J1218" s="57"/>
      <c r="K1218" s="57"/>
      <c r="L1218" s="57"/>
      <c r="M1218" s="57"/>
      <c r="O1218" s="69"/>
      <c r="P1218" s="57"/>
    </row>
    <row r="1219" spans="1:16" x14ac:dyDescent="0.2">
      <c r="A1219" s="57"/>
      <c r="B1219" s="69"/>
      <c r="C1219" s="57"/>
      <c r="D1219" s="57"/>
      <c r="E1219" s="57"/>
      <c r="F1219" s="57"/>
      <c r="G1219" s="57"/>
      <c r="H1219" s="57"/>
      <c r="I1219" s="57"/>
      <c r="J1219" s="57"/>
      <c r="K1219" s="57"/>
      <c r="L1219" s="57"/>
      <c r="M1219" s="57"/>
      <c r="O1219" s="69"/>
      <c r="P1219" s="57"/>
    </row>
    <row r="1220" spans="1:16" x14ac:dyDescent="0.2">
      <c r="A1220" s="57"/>
      <c r="B1220" s="69"/>
      <c r="C1220" s="57"/>
      <c r="D1220" s="57"/>
      <c r="E1220" s="57"/>
      <c r="F1220" s="57"/>
      <c r="G1220" s="57"/>
      <c r="H1220" s="57"/>
      <c r="I1220" s="57"/>
      <c r="J1220" s="57"/>
      <c r="K1220" s="57"/>
      <c r="L1220" s="57"/>
      <c r="M1220" s="57"/>
      <c r="O1220" s="69"/>
      <c r="P1220" s="57"/>
    </row>
    <row r="1221" spans="1:16" x14ac:dyDescent="0.2">
      <c r="A1221" s="57"/>
      <c r="B1221" s="69"/>
      <c r="C1221" s="57"/>
      <c r="D1221" s="57"/>
      <c r="E1221" s="57"/>
      <c r="F1221" s="57"/>
      <c r="G1221" s="57"/>
      <c r="H1221" s="57"/>
      <c r="I1221" s="57"/>
      <c r="J1221" s="57"/>
      <c r="K1221" s="57"/>
      <c r="L1221" s="57"/>
      <c r="M1221" s="57"/>
      <c r="O1221" s="69"/>
      <c r="P1221" s="57"/>
    </row>
    <row r="1222" spans="1:16" x14ac:dyDescent="0.2">
      <c r="A1222" s="57"/>
      <c r="B1222" s="69"/>
      <c r="C1222" s="57"/>
      <c r="D1222" s="57"/>
      <c r="E1222" s="57"/>
      <c r="F1222" s="57"/>
      <c r="G1222" s="57"/>
      <c r="H1222" s="57"/>
      <c r="I1222" s="57"/>
      <c r="J1222" s="57"/>
      <c r="K1222" s="57"/>
      <c r="L1222" s="57"/>
      <c r="M1222" s="57"/>
      <c r="O1222" s="69"/>
      <c r="P1222" s="57"/>
    </row>
    <row r="1223" spans="1:16" x14ac:dyDescent="0.2">
      <c r="A1223" s="57"/>
      <c r="B1223" s="69"/>
      <c r="C1223" s="57"/>
      <c r="D1223" s="57"/>
      <c r="E1223" s="57"/>
      <c r="F1223" s="57"/>
      <c r="G1223" s="57"/>
      <c r="H1223" s="57"/>
      <c r="I1223" s="57"/>
      <c r="J1223" s="57"/>
      <c r="K1223" s="57"/>
      <c r="L1223" s="57"/>
      <c r="M1223" s="57"/>
      <c r="O1223" s="69"/>
      <c r="P1223" s="57"/>
    </row>
    <row r="1224" spans="1:16" x14ac:dyDescent="0.2">
      <c r="A1224" s="57"/>
      <c r="B1224" s="69"/>
      <c r="C1224" s="57"/>
      <c r="D1224" s="57"/>
      <c r="E1224" s="57"/>
      <c r="F1224" s="57"/>
      <c r="G1224" s="57"/>
      <c r="H1224" s="57"/>
      <c r="I1224" s="57"/>
      <c r="J1224" s="57"/>
      <c r="K1224" s="57"/>
      <c r="L1224" s="57"/>
      <c r="M1224" s="57"/>
      <c r="O1224" s="69"/>
      <c r="P1224" s="57"/>
    </row>
    <row r="1225" spans="1:16" x14ac:dyDescent="0.2">
      <c r="A1225" s="57"/>
      <c r="B1225" s="69"/>
      <c r="C1225" s="57"/>
      <c r="D1225" s="57"/>
      <c r="E1225" s="57"/>
      <c r="F1225" s="57"/>
      <c r="G1225" s="57"/>
      <c r="H1225" s="57"/>
      <c r="I1225" s="57"/>
      <c r="J1225" s="57"/>
      <c r="K1225" s="57"/>
      <c r="L1225" s="57"/>
      <c r="M1225" s="57"/>
      <c r="O1225" s="69"/>
      <c r="P1225" s="57"/>
    </row>
    <row r="1226" spans="1:16" x14ac:dyDescent="0.2">
      <c r="A1226" s="57"/>
      <c r="B1226" s="69"/>
      <c r="C1226" s="57"/>
      <c r="D1226" s="57"/>
      <c r="E1226" s="57"/>
      <c r="F1226" s="57"/>
      <c r="G1226" s="57"/>
      <c r="H1226" s="57"/>
      <c r="I1226" s="57"/>
      <c r="J1226" s="57"/>
      <c r="K1226" s="57"/>
      <c r="L1226" s="57"/>
      <c r="M1226" s="57"/>
      <c r="O1226" s="69"/>
      <c r="P1226" s="57"/>
    </row>
    <row r="1227" spans="1:16" x14ac:dyDescent="0.2">
      <c r="A1227" s="57"/>
      <c r="B1227" s="69"/>
      <c r="C1227" s="57"/>
      <c r="D1227" s="57"/>
      <c r="E1227" s="57"/>
      <c r="F1227" s="57"/>
      <c r="G1227" s="57"/>
      <c r="H1227" s="57"/>
      <c r="I1227" s="57"/>
      <c r="J1227" s="57"/>
      <c r="K1227" s="57"/>
      <c r="L1227" s="57"/>
      <c r="M1227" s="57"/>
      <c r="O1227" s="69"/>
      <c r="P1227" s="57"/>
    </row>
    <row r="1228" spans="1:16" x14ac:dyDescent="0.2">
      <c r="A1228" s="57"/>
      <c r="B1228" s="69"/>
      <c r="C1228" s="57"/>
      <c r="D1228" s="57"/>
      <c r="E1228" s="57"/>
      <c r="F1228" s="57"/>
      <c r="G1228" s="57"/>
      <c r="H1228" s="57"/>
      <c r="I1228" s="57"/>
      <c r="J1228" s="57"/>
      <c r="K1228" s="57"/>
      <c r="L1228" s="57"/>
      <c r="M1228" s="57"/>
      <c r="O1228" s="69"/>
      <c r="P1228" s="57"/>
    </row>
    <row r="1229" spans="1:16" x14ac:dyDescent="0.2">
      <c r="A1229" s="57"/>
      <c r="B1229" s="69"/>
      <c r="C1229" s="57"/>
      <c r="D1229" s="57"/>
      <c r="E1229" s="57"/>
      <c r="F1229" s="57"/>
      <c r="G1229" s="57"/>
      <c r="H1229" s="57"/>
      <c r="I1229" s="57"/>
      <c r="J1229" s="57"/>
      <c r="K1229" s="57"/>
      <c r="L1229" s="57"/>
      <c r="M1229" s="57"/>
      <c r="O1229" s="69"/>
      <c r="P1229" s="57"/>
    </row>
    <row r="1230" spans="1:16" x14ac:dyDescent="0.2">
      <c r="A1230" s="57"/>
      <c r="B1230" s="69"/>
      <c r="C1230" s="57"/>
      <c r="D1230" s="57"/>
      <c r="E1230" s="57"/>
      <c r="F1230" s="57"/>
      <c r="G1230" s="57"/>
      <c r="H1230" s="57"/>
      <c r="I1230" s="57"/>
      <c r="J1230" s="57"/>
      <c r="K1230" s="57"/>
      <c r="L1230" s="57"/>
      <c r="M1230" s="57"/>
      <c r="O1230" s="69"/>
      <c r="P1230" s="57"/>
    </row>
    <row r="1231" spans="1:16" x14ac:dyDescent="0.2">
      <c r="A1231" s="57"/>
      <c r="B1231" s="69"/>
      <c r="C1231" s="57"/>
      <c r="D1231" s="57"/>
      <c r="E1231" s="57"/>
      <c r="F1231" s="57"/>
      <c r="G1231" s="57"/>
      <c r="H1231" s="57"/>
      <c r="I1231" s="57"/>
      <c r="J1231" s="57"/>
      <c r="K1231" s="57"/>
      <c r="L1231" s="57"/>
      <c r="M1231" s="57"/>
      <c r="O1231" s="69"/>
      <c r="P1231" s="57"/>
    </row>
    <row r="1232" spans="1:16" x14ac:dyDescent="0.2">
      <c r="A1232" s="57"/>
      <c r="B1232" s="69"/>
      <c r="C1232" s="57"/>
      <c r="D1232" s="57"/>
      <c r="E1232" s="57"/>
      <c r="F1232" s="57"/>
      <c r="G1232" s="57"/>
      <c r="H1232" s="57"/>
      <c r="I1232" s="57"/>
      <c r="J1232" s="57"/>
      <c r="K1232" s="57"/>
      <c r="L1232" s="57"/>
      <c r="M1232" s="57"/>
      <c r="O1232" s="69"/>
      <c r="P1232" s="57"/>
    </row>
    <row r="1233" spans="1:16" x14ac:dyDescent="0.2">
      <c r="A1233" s="57"/>
      <c r="B1233" s="69"/>
      <c r="C1233" s="57"/>
      <c r="D1233" s="57"/>
      <c r="E1233" s="57"/>
      <c r="F1233" s="57"/>
      <c r="G1233" s="57"/>
      <c r="H1233" s="57"/>
      <c r="I1233" s="57"/>
      <c r="J1233" s="57"/>
      <c r="K1233" s="57"/>
      <c r="L1233" s="57"/>
      <c r="M1233" s="57"/>
      <c r="O1233" s="69"/>
      <c r="P1233" s="57"/>
    </row>
    <row r="1234" spans="1:16" x14ac:dyDescent="0.2">
      <c r="A1234" s="57"/>
      <c r="B1234" s="69"/>
      <c r="C1234" s="57"/>
      <c r="D1234" s="57"/>
      <c r="E1234" s="57"/>
      <c r="F1234" s="57"/>
      <c r="G1234" s="57"/>
      <c r="H1234" s="57"/>
      <c r="I1234" s="57"/>
      <c r="J1234" s="57"/>
      <c r="K1234" s="57"/>
      <c r="L1234" s="57"/>
      <c r="M1234" s="57"/>
      <c r="O1234" s="69"/>
      <c r="P1234" s="57"/>
    </row>
    <row r="1235" spans="1:16" x14ac:dyDescent="0.2">
      <c r="A1235" s="57"/>
      <c r="B1235" s="69"/>
      <c r="C1235" s="57"/>
      <c r="D1235" s="57"/>
      <c r="E1235" s="57"/>
      <c r="F1235" s="57"/>
      <c r="G1235" s="57"/>
      <c r="H1235" s="57"/>
      <c r="I1235" s="57"/>
      <c r="J1235" s="57"/>
      <c r="K1235" s="57"/>
      <c r="L1235" s="57"/>
      <c r="M1235" s="57"/>
      <c r="O1235" s="69"/>
      <c r="P1235" s="57"/>
    </row>
    <row r="1236" spans="1:16" x14ac:dyDescent="0.2">
      <c r="A1236" s="57"/>
      <c r="B1236" s="69"/>
      <c r="C1236" s="57"/>
      <c r="D1236" s="57"/>
      <c r="E1236" s="57"/>
      <c r="F1236" s="57"/>
      <c r="G1236" s="57"/>
      <c r="H1236" s="57"/>
      <c r="I1236" s="57"/>
      <c r="J1236" s="57"/>
      <c r="K1236" s="57"/>
      <c r="L1236" s="57"/>
      <c r="M1236" s="57"/>
      <c r="O1236" s="69"/>
      <c r="P1236" s="57"/>
    </row>
    <row r="1237" spans="1:16" x14ac:dyDescent="0.2">
      <c r="A1237" s="57"/>
      <c r="B1237" s="69"/>
      <c r="C1237" s="57"/>
      <c r="D1237" s="57"/>
      <c r="E1237" s="57"/>
      <c r="F1237" s="57"/>
      <c r="G1237" s="57"/>
      <c r="H1237" s="57"/>
      <c r="I1237" s="57"/>
      <c r="J1237" s="57"/>
      <c r="K1237" s="57"/>
      <c r="L1237" s="57"/>
      <c r="M1237" s="57"/>
      <c r="O1237" s="69"/>
      <c r="P1237" s="57"/>
    </row>
    <row r="1238" spans="1:16" x14ac:dyDescent="0.2">
      <c r="A1238" s="57"/>
      <c r="B1238" s="69"/>
      <c r="C1238" s="57"/>
      <c r="D1238" s="57"/>
      <c r="E1238" s="57"/>
      <c r="F1238" s="57"/>
      <c r="G1238" s="57"/>
      <c r="H1238" s="57"/>
      <c r="I1238" s="57"/>
      <c r="J1238" s="57"/>
      <c r="K1238" s="57"/>
      <c r="L1238" s="57"/>
      <c r="M1238" s="57"/>
      <c r="O1238" s="69"/>
      <c r="P1238" s="57"/>
    </row>
    <row r="1239" spans="1:16" x14ac:dyDescent="0.2">
      <c r="A1239" s="57"/>
      <c r="B1239" s="69"/>
      <c r="C1239" s="57"/>
      <c r="D1239" s="57"/>
      <c r="E1239" s="57"/>
      <c r="F1239" s="57"/>
      <c r="G1239" s="57"/>
      <c r="H1239" s="57"/>
      <c r="I1239" s="57"/>
      <c r="J1239" s="57"/>
      <c r="K1239" s="57"/>
      <c r="L1239" s="57"/>
      <c r="M1239" s="57"/>
      <c r="O1239" s="69"/>
      <c r="P1239" s="57"/>
    </row>
    <row r="1240" spans="1:16" x14ac:dyDescent="0.2">
      <c r="A1240" s="57"/>
      <c r="B1240" s="69"/>
      <c r="C1240" s="57"/>
      <c r="D1240" s="57"/>
      <c r="E1240" s="57"/>
      <c r="F1240" s="57"/>
      <c r="G1240" s="57"/>
      <c r="H1240" s="57"/>
      <c r="I1240" s="57"/>
      <c r="J1240" s="57"/>
      <c r="K1240" s="57"/>
      <c r="L1240" s="57"/>
      <c r="M1240" s="57"/>
      <c r="O1240" s="69"/>
      <c r="P1240" s="57"/>
    </row>
    <row r="1241" spans="1:16" x14ac:dyDescent="0.2">
      <c r="A1241" s="57"/>
      <c r="B1241" s="69"/>
      <c r="C1241" s="57"/>
      <c r="D1241" s="57"/>
      <c r="E1241" s="57"/>
      <c r="F1241" s="57"/>
      <c r="G1241" s="57"/>
      <c r="H1241" s="57"/>
      <c r="I1241" s="57"/>
      <c r="J1241" s="57"/>
      <c r="K1241" s="57"/>
      <c r="L1241" s="57"/>
      <c r="M1241" s="57"/>
      <c r="O1241" s="69"/>
      <c r="P1241" s="57"/>
    </row>
    <row r="1242" spans="1:16" x14ac:dyDescent="0.2">
      <c r="A1242" s="57"/>
      <c r="B1242" s="69"/>
      <c r="C1242" s="57"/>
      <c r="D1242" s="57"/>
      <c r="E1242" s="57"/>
      <c r="F1242" s="57"/>
      <c r="G1242" s="57"/>
      <c r="H1242" s="57"/>
      <c r="I1242" s="57"/>
      <c r="J1242" s="57"/>
      <c r="K1242" s="57"/>
      <c r="L1242" s="57"/>
      <c r="M1242" s="57"/>
      <c r="O1242" s="69"/>
      <c r="P1242" s="57"/>
    </row>
    <row r="1243" spans="1:16" x14ac:dyDescent="0.2">
      <c r="A1243" s="57"/>
      <c r="B1243" s="69"/>
      <c r="C1243" s="57"/>
      <c r="D1243" s="57"/>
      <c r="E1243" s="57"/>
      <c r="F1243" s="57"/>
      <c r="G1243" s="57"/>
      <c r="H1243" s="57"/>
      <c r="I1243" s="57"/>
      <c r="J1243" s="57"/>
      <c r="K1243" s="57"/>
      <c r="L1243" s="57"/>
      <c r="M1243" s="57"/>
      <c r="O1243" s="69"/>
      <c r="P1243" s="57"/>
    </row>
    <row r="1244" spans="1:16" x14ac:dyDescent="0.2">
      <c r="A1244" s="57"/>
      <c r="B1244" s="69"/>
      <c r="C1244" s="57"/>
      <c r="D1244" s="57"/>
      <c r="E1244" s="57"/>
      <c r="F1244" s="57"/>
      <c r="G1244" s="57"/>
      <c r="H1244" s="57"/>
      <c r="I1244" s="57"/>
      <c r="J1244" s="57"/>
      <c r="K1244" s="57"/>
      <c r="L1244" s="57"/>
      <c r="M1244" s="57"/>
      <c r="O1244" s="69"/>
      <c r="P1244" s="57"/>
    </row>
    <row r="1245" spans="1:16" x14ac:dyDescent="0.2">
      <c r="A1245" s="57"/>
      <c r="B1245" s="69"/>
      <c r="C1245" s="57"/>
      <c r="D1245" s="57"/>
      <c r="E1245" s="57"/>
      <c r="F1245" s="57"/>
      <c r="G1245" s="57"/>
      <c r="H1245" s="57"/>
      <c r="I1245" s="57"/>
      <c r="J1245" s="57"/>
      <c r="K1245" s="57"/>
      <c r="L1245" s="57"/>
      <c r="M1245" s="57"/>
      <c r="O1245" s="69"/>
      <c r="P1245" s="57"/>
    </row>
    <row r="1246" spans="1:16" x14ac:dyDescent="0.2">
      <c r="A1246" s="57"/>
      <c r="B1246" s="69"/>
      <c r="C1246" s="57"/>
      <c r="D1246" s="57"/>
      <c r="E1246" s="57"/>
      <c r="F1246" s="57"/>
      <c r="G1246" s="57"/>
      <c r="H1246" s="57"/>
      <c r="I1246" s="57"/>
      <c r="J1246" s="57"/>
      <c r="K1246" s="57"/>
      <c r="L1246" s="57"/>
      <c r="M1246" s="57"/>
      <c r="O1246" s="69"/>
      <c r="P1246" s="57"/>
    </row>
    <row r="1247" spans="1:16" x14ac:dyDescent="0.2">
      <c r="A1247" s="57"/>
      <c r="B1247" s="69"/>
      <c r="C1247" s="57"/>
      <c r="D1247" s="57"/>
      <c r="E1247" s="57"/>
      <c r="F1247" s="57"/>
      <c r="G1247" s="57"/>
      <c r="H1247" s="57"/>
      <c r="I1247" s="57"/>
      <c r="J1247" s="57"/>
      <c r="K1247" s="57"/>
      <c r="L1247" s="57"/>
      <c r="M1247" s="57"/>
      <c r="O1247" s="69"/>
      <c r="P1247" s="57"/>
    </row>
    <row r="1248" spans="1:16" x14ac:dyDescent="0.2">
      <c r="A1248" s="57"/>
      <c r="B1248" s="69"/>
      <c r="C1248" s="57"/>
      <c r="D1248" s="57"/>
      <c r="E1248" s="57"/>
      <c r="F1248" s="57"/>
      <c r="G1248" s="57"/>
      <c r="H1248" s="57"/>
      <c r="I1248" s="57"/>
      <c r="J1248" s="57"/>
      <c r="K1248" s="57"/>
      <c r="L1248" s="57"/>
      <c r="M1248" s="57"/>
      <c r="O1248" s="69"/>
      <c r="P1248" s="57"/>
    </row>
    <row r="1249" spans="1:16" x14ac:dyDescent="0.2">
      <c r="A1249" s="57"/>
      <c r="B1249" s="69"/>
      <c r="C1249" s="57"/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O1249" s="69"/>
      <c r="P1249" s="57"/>
    </row>
    <row r="1250" spans="1:16" x14ac:dyDescent="0.2">
      <c r="A1250" s="57"/>
      <c r="B1250" s="69"/>
      <c r="C1250" s="57"/>
      <c r="D1250" s="57"/>
      <c r="E1250" s="57"/>
      <c r="F1250" s="57"/>
      <c r="G1250" s="57"/>
      <c r="H1250" s="57"/>
      <c r="I1250" s="57"/>
      <c r="J1250" s="57"/>
      <c r="K1250" s="57"/>
      <c r="L1250" s="57"/>
      <c r="M1250" s="57"/>
      <c r="O1250" s="69"/>
      <c r="P1250" s="57"/>
    </row>
    <row r="1251" spans="1:16" x14ac:dyDescent="0.2">
      <c r="A1251" s="57"/>
      <c r="B1251" s="69"/>
      <c r="C1251" s="57"/>
      <c r="D1251" s="57"/>
      <c r="E1251" s="57"/>
      <c r="F1251" s="57"/>
      <c r="G1251" s="57"/>
      <c r="H1251" s="57"/>
      <c r="I1251" s="57"/>
      <c r="J1251" s="57"/>
      <c r="K1251" s="57"/>
      <c r="L1251" s="57"/>
      <c r="M1251" s="57"/>
      <c r="O1251" s="69"/>
      <c r="P1251" s="57"/>
    </row>
    <row r="1252" spans="1:16" x14ac:dyDescent="0.2">
      <c r="A1252" s="57"/>
      <c r="B1252" s="69"/>
      <c r="C1252" s="57"/>
      <c r="D1252" s="57"/>
      <c r="E1252" s="57"/>
      <c r="F1252" s="57"/>
      <c r="G1252" s="57"/>
      <c r="H1252" s="57"/>
      <c r="I1252" s="57"/>
      <c r="J1252" s="57"/>
      <c r="K1252" s="57"/>
      <c r="L1252" s="57"/>
      <c r="M1252" s="57"/>
      <c r="O1252" s="69"/>
      <c r="P1252" s="57"/>
    </row>
    <row r="1253" spans="1:16" x14ac:dyDescent="0.2">
      <c r="A1253" s="57"/>
      <c r="B1253" s="69"/>
      <c r="C1253" s="57"/>
      <c r="D1253" s="57"/>
      <c r="E1253" s="57"/>
      <c r="F1253" s="57"/>
      <c r="G1253" s="57"/>
      <c r="H1253" s="57"/>
      <c r="I1253" s="57"/>
      <c r="J1253" s="57"/>
      <c r="K1253" s="57"/>
      <c r="L1253" s="57"/>
      <c r="M1253" s="57"/>
      <c r="O1253" s="69"/>
      <c r="P1253" s="57"/>
    </row>
    <row r="1254" spans="1:16" x14ac:dyDescent="0.2">
      <c r="A1254" s="57"/>
      <c r="B1254" s="69"/>
      <c r="C1254" s="57"/>
      <c r="D1254" s="57"/>
      <c r="E1254" s="57"/>
      <c r="F1254" s="57"/>
      <c r="G1254" s="57"/>
      <c r="H1254" s="57"/>
      <c r="I1254" s="57"/>
      <c r="J1254" s="57"/>
      <c r="K1254" s="57"/>
      <c r="L1254" s="57"/>
      <c r="M1254" s="57"/>
      <c r="O1254" s="69"/>
      <c r="P1254" s="57"/>
    </row>
    <row r="1255" spans="1:16" x14ac:dyDescent="0.2">
      <c r="A1255" s="57"/>
      <c r="B1255" s="69"/>
      <c r="C1255" s="57"/>
      <c r="D1255" s="57"/>
      <c r="E1255" s="57"/>
      <c r="F1255" s="57"/>
      <c r="G1255" s="57"/>
      <c r="H1255" s="57"/>
      <c r="I1255" s="57"/>
      <c r="J1255" s="57"/>
      <c r="K1255" s="57"/>
      <c r="L1255" s="57"/>
      <c r="M1255" s="57"/>
      <c r="O1255" s="69"/>
      <c r="P1255" s="57"/>
    </row>
    <row r="1256" spans="1:16" x14ac:dyDescent="0.2">
      <c r="A1256" s="57"/>
      <c r="B1256" s="69"/>
      <c r="C1256" s="57"/>
      <c r="D1256" s="57"/>
      <c r="E1256" s="57"/>
      <c r="F1256" s="57"/>
      <c r="G1256" s="57"/>
      <c r="H1256" s="57"/>
      <c r="I1256" s="57"/>
      <c r="J1256" s="57"/>
      <c r="K1256" s="57"/>
      <c r="L1256" s="57"/>
      <c r="M1256" s="57"/>
      <c r="O1256" s="69"/>
      <c r="P1256" s="57"/>
    </row>
    <row r="1257" spans="1:16" x14ac:dyDescent="0.2">
      <c r="A1257" s="57"/>
      <c r="B1257" s="69"/>
      <c r="C1257" s="57"/>
      <c r="D1257" s="57"/>
      <c r="E1257" s="57"/>
      <c r="F1257" s="57"/>
      <c r="G1257" s="57"/>
      <c r="H1257" s="57"/>
      <c r="I1257" s="57"/>
      <c r="J1257" s="57"/>
      <c r="K1257" s="57"/>
      <c r="L1257" s="57"/>
      <c r="M1257" s="57"/>
      <c r="O1257" s="69"/>
      <c r="P1257" s="57"/>
    </row>
    <row r="1258" spans="1:16" x14ac:dyDescent="0.2">
      <c r="A1258" s="57"/>
      <c r="B1258" s="69"/>
      <c r="C1258" s="57"/>
      <c r="D1258" s="57"/>
      <c r="E1258" s="57"/>
      <c r="F1258" s="57"/>
      <c r="G1258" s="57"/>
      <c r="H1258" s="57"/>
      <c r="I1258" s="57"/>
      <c r="J1258" s="57"/>
      <c r="K1258" s="57"/>
      <c r="L1258" s="57"/>
      <c r="M1258" s="57"/>
      <c r="O1258" s="69"/>
      <c r="P1258" s="57"/>
    </row>
    <row r="1259" spans="1:16" x14ac:dyDescent="0.2">
      <c r="A1259" s="57"/>
      <c r="B1259" s="69"/>
      <c r="C1259" s="57"/>
      <c r="D1259" s="57"/>
      <c r="E1259" s="57"/>
      <c r="F1259" s="57"/>
      <c r="G1259" s="57"/>
      <c r="H1259" s="57"/>
      <c r="I1259" s="57"/>
      <c r="J1259" s="57"/>
      <c r="K1259" s="57"/>
      <c r="L1259" s="57"/>
      <c r="M1259" s="57"/>
      <c r="O1259" s="69"/>
      <c r="P1259" s="57"/>
    </row>
    <row r="1260" spans="1:16" x14ac:dyDescent="0.2">
      <c r="A1260" s="57"/>
      <c r="B1260" s="69"/>
      <c r="C1260" s="57"/>
      <c r="D1260" s="57"/>
      <c r="E1260" s="57"/>
      <c r="F1260" s="57"/>
      <c r="G1260" s="57"/>
      <c r="H1260" s="57"/>
      <c r="I1260" s="57"/>
      <c r="J1260" s="57"/>
      <c r="K1260" s="57"/>
      <c r="L1260" s="57"/>
      <c r="M1260" s="57"/>
      <c r="O1260" s="69"/>
      <c r="P1260" s="57"/>
    </row>
    <row r="1261" spans="1:16" x14ac:dyDescent="0.2">
      <c r="A1261" s="57"/>
      <c r="B1261" s="69"/>
      <c r="C1261" s="57"/>
      <c r="D1261" s="57"/>
      <c r="E1261" s="57"/>
      <c r="F1261" s="57"/>
      <c r="G1261" s="57"/>
      <c r="H1261" s="57"/>
      <c r="I1261" s="57"/>
      <c r="J1261" s="57"/>
      <c r="K1261" s="57"/>
      <c r="L1261" s="57"/>
      <c r="M1261" s="57"/>
      <c r="O1261" s="69"/>
      <c r="P1261" s="57"/>
    </row>
    <row r="1262" spans="1:16" x14ac:dyDescent="0.2">
      <c r="A1262" s="57"/>
      <c r="B1262" s="69"/>
      <c r="C1262" s="57"/>
      <c r="D1262" s="57"/>
      <c r="E1262" s="57"/>
      <c r="F1262" s="57"/>
      <c r="G1262" s="57"/>
      <c r="H1262" s="57"/>
      <c r="I1262" s="57"/>
      <c r="J1262" s="57"/>
      <c r="K1262" s="57"/>
      <c r="L1262" s="57"/>
      <c r="M1262" s="57"/>
      <c r="O1262" s="69"/>
      <c r="P1262" s="57"/>
    </row>
    <row r="1263" spans="1:16" x14ac:dyDescent="0.2">
      <c r="A1263" s="57"/>
      <c r="B1263" s="69"/>
      <c r="C1263" s="57"/>
      <c r="D1263" s="57"/>
      <c r="E1263" s="57"/>
      <c r="F1263" s="57"/>
      <c r="G1263" s="57"/>
      <c r="H1263" s="57"/>
      <c r="I1263" s="57"/>
      <c r="J1263" s="57"/>
      <c r="K1263" s="57"/>
      <c r="L1263" s="57"/>
      <c r="M1263" s="57"/>
      <c r="O1263" s="69"/>
      <c r="P1263" s="57"/>
    </row>
    <row r="1264" spans="1:16" x14ac:dyDescent="0.2">
      <c r="A1264" s="57"/>
      <c r="B1264" s="69"/>
      <c r="C1264" s="57"/>
      <c r="D1264" s="57"/>
      <c r="E1264" s="57"/>
      <c r="F1264" s="57"/>
      <c r="G1264" s="57"/>
      <c r="H1264" s="57"/>
      <c r="I1264" s="57"/>
      <c r="J1264" s="57"/>
      <c r="K1264" s="57"/>
      <c r="L1264" s="57"/>
      <c r="M1264" s="57"/>
      <c r="O1264" s="69"/>
      <c r="P1264" s="57"/>
    </row>
    <row r="1265" spans="1:16" x14ac:dyDescent="0.2">
      <c r="A1265" s="57"/>
      <c r="B1265" s="69"/>
      <c r="C1265" s="57"/>
      <c r="D1265" s="57"/>
      <c r="E1265" s="57"/>
      <c r="F1265" s="57"/>
      <c r="G1265" s="57"/>
      <c r="H1265" s="57"/>
      <c r="I1265" s="57"/>
      <c r="J1265" s="57"/>
      <c r="K1265" s="57"/>
      <c r="L1265" s="57"/>
      <c r="M1265" s="57"/>
      <c r="O1265" s="69"/>
      <c r="P1265" s="57"/>
    </row>
    <row r="1266" spans="1:16" x14ac:dyDescent="0.2">
      <c r="A1266" s="57"/>
      <c r="B1266" s="69"/>
      <c r="C1266" s="57"/>
      <c r="D1266" s="57"/>
      <c r="E1266" s="57"/>
      <c r="F1266" s="57"/>
      <c r="G1266" s="57"/>
      <c r="H1266" s="57"/>
      <c r="I1266" s="57"/>
      <c r="J1266" s="57"/>
      <c r="K1266" s="57"/>
      <c r="L1266" s="57"/>
      <c r="M1266" s="57"/>
      <c r="O1266" s="69"/>
      <c r="P1266" s="57"/>
    </row>
    <row r="1267" spans="1:16" x14ac:dyDescent="0.2">
      <c r="A1267" s="57"/>
      <c r="B1267" s="69"/>
      <c r="C1267" s="57"/>
      <c r="D1267" s="57"/>
      <c r="E1267" s="57"/>
      <c r="F1267" s="57"/>
      <c r="G1267" s="57"/>
      <c r="H1267" s="57"/>
      <c r="I1267" s="57"/>
      <c r="J1267" s="57"/>
      <c r="K1267" s="57"/>
      <c r="L1267" s="57"/>
      <c r="M1267" s="57"/>
      <c r="O1267" s="69"/>
      <c r="P1267" s="57"/>
    </row>
    <row r="1268" spans="1:16" x14ac:dyDescent="0.2">
      <c r="A1268" s="57"/>
      <c r="B1268" s="69"/>
      <c r="C1268" s="57"/>
      <c r="D1268" s="57"/>
      <c r="E1268" s="57"/>
      <c r="F1268" s="57"/>
      <c r="G1268" s="57"/>
      <c r="H1268" s="57"/>
      <c r="I1268" s="57"/>
      <c r="J1268" s="57"/>
      <c r="K1268" s="57"/>
      <c r="L1268" s="57"/>
      <c r="M1268" s="57"/>
      <c r="O1268" s="69"/>
      <c r="P1268" s="57"/>
    </row>
    <row r="1269" spans="1:16" x14ac:dyDescent="0.2">
      <c r="A1269" s="57"/>
      <c r="B1269" s="69"/>
      <c r="C1269" s="57"/>
      <c r="D1269" s="57"/>
      <c r="E1269" s="57"/>
      <c r="F1269" s="57"/>
      <c r="G1269" s="57"/>
      <c r="H1269" s="57"/>
      <c r="I1269" s="57"/>
      <c r="J1269" s="57"/>
      <c r="K1269" s="57"/>
      <c r="L1269" s="57"/>
      <c r="M1269" s="57"/>
      <c r="O1269" s="69"/>
      <c r="P1269" s="57"/>
    </row>
    <row r="1270" spans="1:16" x14ac:dyDescent="0.2">
      <c r="A1270" s="57"/>
      <c r="B1270" s="69"/>
      <c r="C1270" s="57"/>
      <c r="D1270" s="57"/>
      <c r="E1270" s="57"/>
      <c r="F1270" s="57"/>
      <c r="G1270" s="57"/>
      <c r="H1270" s="57"/>
      <c r="I1270" s="57"/>
      <c r="J1270" s="57"/>
      <c r="K1270" s="57"/>
      <c r="L1270" s="57"/>
      <c r="M1270" s="57"/>
      <c r="O1270" s="69"/>
      <c r="P1270" s="57"/>
    </row>
    <row r="1271" spans="1:16" x14ac:dyDescent="0.2">
      <c r="A1271" s="57"/>
      <c r="B1271" s="69"/>
      <c r="C1271" s="57"/>
      <c r="D1271" s="57"/>
      <c r="E1271" s="57"/>
      <c r="F1271" s="57"/>
      <c r="G1271" s="57"/>
      <c r="H1271" s="57"/>
      <c r="I1271" s="57"/>
      <c r="J1271" s="57"/>
      <c r="K1271" s="57"/>
      <c r="L1271" s="57"/>
      <c r="M1271" s="57"/>
      <c r="O1271" s="69"/>
      <c r="P1271" s="57"/>
    </row>
    <row r="1272" spans="1:16" x14ac:dyDescent="0.2">
      <c r="A1272" s="57"/>
      <c r="B1272" s="69"/>
      <c r="C1272" s="57"/>
      <c r="D1272" s="57"/>
      <c r="E1272" s="57"/>
      <c r="F1272" s="57"/>
      <c r="G1272" s="57"/>
      <c r="H1272" s="57"/>
      <c r="I1272" s="57"/>
      <c r="J1272" s="57"/>
      <c r="K1272" s="57"/>
      <c r="L1272" s="57"/>
      <c r="M1272" s="57"/>
      <c r="O1272" s="69"/>
      <c r="P1272" s="57"/>
    </row>
    <row r="1273" spans="1:16" x14ac:dyDescent="0.2">
      <c r="A1273" s="57"/>
      <c r="B1273" s="69"/>
      <c r="C1273" s="57"/>
      <c r="D1273" s="57"/>
      <c r="E1273" s="57"/>
      <c r="F1273" s="57"/>
      <c r="G1273" s="57"/>
      <c r="H1273" s="57"/>
      <c r="I1273" s="57"/>
      <c r="J1273" s="57"/>
      <c r="K1273" s="57"/>
      <c r="L1273" s="57"/>
      <c r="M1273" s="57"/>
      <c r="O1273" s="69"/>
      <c r="P1273" s="57"/>
    </row>
    <row r="1274" spans="1:16" x14ac:dyDescent="0.2">
      <c r="A1274" s="57"/>
      <c r="B1274" s="69"/>
      <c r="C1274" s="57"/>
      <c r="D1274" s="57"/>
      <c r="E1274" s="57"/>
      <c r="F1274" s="57"/>
      <c r="G1274" s="57"/>
      <c r="H1274" s="57"/>
      <c r="I1274" s="57"/>
      <c r="J1274" s="57"/>
      <c r="K1274" s="57"/>
      <c r="L1274" s="57"/>
      <c r="M1274" s="57"/>
      <c r="O1274" s="69"/>
      <c r="P1274" s="57"/>
    </row>
    <row r="1275" spans="1:16" x14ac:dyDescent="0.2">
      <c r="A1275" s="57"/>
      <c r="B1275" s="69"/>
      <c r="C1275" s="57"/>
      <c r="D1275" s="57"/>
      <c r="E1275" s="57"/>
      <c r="F1275" s="57"/>
      <c r="G1275" s="57"/>
      <c r="H1275" s="57"/>
      <c r="I1275" s="57"/>
      <c r="J1275" s="57"/>
      <c r="K1275" s="57"/>
      <c r="L1275" s="57"/>
      <c r="M1275" s="57"/>
      <c r="O1275" s="69"/>
      <c r="P1275" s="57"/>
    </row>
    <row r="1276" spans="1:16" x14ac:dyDescent="0.2">
      <c r="A1276" s="57"/>
      <c r="B1276" s="69"/>
      <c r="C1276" s="57"/>
      <c r="D1276" s="57"/>
      <c r="E1276" s="57"/>
      <c r="F1276" s="57"/>
      <c r="G1276" s="57"/>
      <c r="H1276" s="57"/>
      <c r="I1276" s="57"/>
      <c r="J1276" s="57"/>
      <c r="K1276" s="57"/>
      <c r="L1276" s="57"/>
      <c r="M1276" s="57"/>
      <c r="O1276" s="69"/>
      <c r="P1276" s="57"/>
    </row>
    <row r="1277" spans="1:16" x14ac:dyDescent="0.2">
      <c r="A1277" s="57"/>
      <c r="B1277" s="69"/>
      <c r="C1277" s="57"/>
      <c r="D1277" s="57"/>
      <c r="E1277" s="57"/>
      <c r="F1277" s="57"/>
      <c r="G1277" s="57"/>
      <c r="H1277" s="57"/>
      <c r="I1277" s="57"/>
      <c r="J1277" s="57"/>
      <c r="K1277" s="57"/>
      <c r="L1277" s="57"/>
      <c r="M1277" s="57"/>
      <c r="O1277" s="69"/>
      <c r="P1277" s="57"/>
    </row>
    <row r="1278" spans="1:16" x14ac:dyDescent="0.2">
      <c r="A1278" s="57"/>
      <c r="B1278" s="69"/>
      <c r="C1278" s="57"/>
      <c r="D1278" s="57"/>
      <c r="E1278" s="57"/>
      <c r="F1278" s="57"/>
      <c r="G1278" s="57"/>
      <c r="H1278" s="57"/>
      <c r="I1278" s="57"/>
      <c r="J1278" s="57"/>
      <c r="K1278" s="57"/>
      <c r="L1278" s="57"/>
      <c r="M1278" s="57"/>
      <c r="O1278" s="69"/>
      <c r="P1278" s="57"/>
    </row>
    <row r="1279" spans="1:16" x14ac:dyDescent="0.2">
      <c r="A1279" s="57"/>
      <c r="B1279" s="69"/>
      <c r="C1279" s="57"/>
      <c r="D1279" s="57"/>
      <c r="E1279" s="57"/>
      <c r="F1279" s="57"/>
      <c r="G1279" s="57"/>
      <c r="H1279" s="57"/>
      <c r="I1279" s="57"/>
      <c r="J1279" s="57"/>
      <c r="K1279" s="57"/>
      <c r="L1279" s="57"/>
      <c r="M1279" s="57"/>
      <c r="O1279" s="69"/>
      <c r="P1279" s="57"/>
    </row>
    <row r="1280" spans="1:16" x14ac:dyDescent="0.2">
      <c r="A1280" s="57"/>
      <c r="B1280" s="69"/>
      <c r="C1280" s="57"/>
      <c r="D1280" s="57"/>
      <c r="E1280" s="57"/>
      <c r="F1280" s="57"/>
      <c r="G1280" s="57"/>
      <c r="H1280" s="57"/>
      <c r="I1280" s="57"/>
      <c r="J1280" s="57"/>
      <c r="K1280" s="57"/>
      <c r="L1280" s="57"/>
      <c r="M1280" s="57"/>
      <c r="O1280" s="69"/>
      <c r="P1280" s="57"/>
    </row>
    <row r="1281" spans="1:16" x14ac:dyDescent="0.2">
      <c r="A1281" s="57"/>
      <c r="B1281" s="69"/>
      <c r="C1281" s="57"/>
      <c r="D1281" s="57"/>
      <c r="E1281" s="57"/>
      <c r="F1281" s="57"/>
      <c r="G1281" s="57"/>
      <c r="H1281" s="57"/>
      <c r="I1281" s="57"/>
      <c r="J1281" s="57"/>
      <c r="K1281" s="57"/>
      <c r="L1281" s="57"/>
      <c r="M1281" s="57"/>
      <c r="O1281" s="69"/>
      <c r="P1281" s="57"/>
    </row>
    <row r="1282" spans="1:16" x14ac:dyDescent="0.2">
      <c r="A1282" s="57"/>
      <c r="B1282" s="69"/>
      <c r="C1282" s="57"/>
      <c r="D1282" s="57"/>
      <c r="E1282" s="57"/>
      <c r="F1282" s="57"/>
      <c r="G1282" s="57"/>
      <c r="H1282" s="57"/>
      <c r="I1282" s="57"/>
      <c r="J1282" s="57"/>
      <c r="K1282" s="57"/>
      <c r="L1282" s="57"/>
      <c r="M1282" s="57"/>
      <c r="O1282" s="69"/>
      <c r="P1282" s="57"/>
    </row>
    <row r="1283" spans="1:16" x14ac:dyDescent="0.2">
      <c r="A1283" s="57"/>
      <c r="B1283" s="69"/>
      <c r="C1283" s="57"/>
      <c r="D1283" s="57"/>
      <c r="E1283" s="57"/>
      <c r="F1283" s="57"/>
      <c r="G1283" s="57"/>
      <c r="H1283" s="57"/>
      <c r="I1283" s="57"/>
      <c r="J1283" s="57"/>
      <c r="K1283" s="57"/>
      <c r="L1283" s="57"/>
      <c r="M1283" s="57"/>
      <c r="O1283" s="69"/>
      <c r="P1283" s="57"/>
    </row>
    <row r="1284" spans="1:16" x14ac:dyDescent="0.2">
      <c r="A1284" s="57"/>
      <c r="B1284" s="69"/>
      <c r="C1284" s="57"/>
      <c r="D1284" s="57"/>
      <c r="E1284" s="57"/>
      <c r="F1284" s="57"/>
      <c r="G1284" s="57"/>
      <c r="H1284" s="57"/>
      <c r="I1284" s="57"/>
      <c r="J1284" s="57"/>
      <c r="K1284" s="57"/>
      <c r="L1284" s="57"/>
      <c r="M1284" s="57"/>
      <c r="O1284" s="69"/>
      <c r="P1284" s="57"/>
    </row>
    <row r="1285" spans="1:16" x14ac:dyDescent="0.2">
      <c r="A1285" s="57"/>
      <c r="B1285" s="69"/>
      <c r="C1285" s="57"/>
      <c r="D1285" s="57"/>
      <c r="E1285" s="57"/>
      <c r="F1285" s="57"/>
      <c r="G1285" s="57"/>
      <c r="H1285" s="57"/>
      <c r="I1285" s="57"/>
      <c r="J1285" s="57"/>
      <c r="K1285" s="57"/>
      <c r="L1285" s="57"/>
      <c r="M1285" s="57"/>
      <c r="O1285" s="69"/>
      <c r="P1285" s="57"/>
    </row>
    <row r="1286" spans="1:16" x14ac:dyDescent="0.2">
      <c r="A1286" s="57"/>
      <c r="B1286" s="69"/>
      <c r="C1286" s="57"/>
      <c r="D1286" s="57"/>
      <c r="E1286" s="57"/>
      <c r="F1286" s="57"/>
      <c r="G1286" s="57"/>
      <c r="H1286" s="57"/>
      <c r="I1286" s="57"/>
      <c r="J1286" s="57"/>
      <c r="K1286" s="57"/>
      <c r="L1286" s="57"/>
      <c r="M1286" s="57"/>
      <c r="O1286" s="69"/>
      <c r="P1286" s="57"/>
    </row>
    <row r="1287" spans="1:16" x14ac:dyDescent="0.2">
      <c r="A1287" s="57"/>
      <c r="B1287" s="69"/>
      <c r="C1287" s="57"/>
      <c r="D1287" s="57"/>
      <c r="E1287" s="57"/>
      <c r="F1287" s="57"/>
      <c r="G1287" s="57"/>
      <c r="H1287" s="57"/>
      <c r="I1287" s="57"/>
      <c r="J1287" s="57"/>
      <c r="K1287" s="57"/>
      <c r="L1287" s="57"/>
      <c r="M1287" s="57"/>
      <c r="O1287" s="69"/>
      <c r="P1287" s="57"/>
    </row>
    <row r="1288" spans="1:16" x14ac:dyDescent="0.2">
      <c r="A1288" s="57"/>
      <c r="B1288" s="69"/>
      <c r="C1288" s="57"/>
      <c r="D1288" s="57"/>
      <c r="E1288" s="57"/>
      <c r="F1288" s="57"/>
      <c r="G1288" s="57"/>
      <c r="H1288" s="57"/>
      <c r="I1288" s="57"/>
      <c r="J1288" s="57"/>
      <c r="K1288" s="57"/>
      <c r="L1288" s="57"/>
      <c r="M1288" s="57"/>
      <c r="O1288" s="69"/>
      <c r="P1288" s="57"/>
    </row>
    <row r="1289" spans="1:16" x14ac:dyDescent="0.2">
      <c r="A1289" s="57"/>
      <c r="B1289" s="69"/>
      <c r="C1289" s="57"/>
      <c r="D1289" s="57"/>
      <c r="E1289" s="57"/>
      <c r="F1289" s="57"/>
      <c r="G1289" s="57"/>
      <c r="H1289" s="57"/>
      <c r="I1289" s="57"/>
      <c r="J1289" s="57"/>
      <c r="K1289" s="57"/>
      <c r="L1289" s="57"/>
      <c r="M1289" s="57"/>
      <c r="O1289" s="69"/>
      <c r="P1289" s="57"/>
    </row>
    <row r="1290" spans="1:16" x14ac:dyDescent="0.2">
      <c r="A1290" s="57"/>
      <c r="B1290" s="69"/>
      <c r="C1290" s="57"/>
      <c r="D1290" s="57"/>
      <c r="E1290" s="57"/>
      <c r="F1290" s="57"/>
      <c r="G1290" s="57"/>
      <c r="H1290" s="57"/>
      <c r="I1290" s="57"/>
      <c r="J1290" s="57"/>
      <c r="K1290" s="57"/>
      <c r="L1290" s="57"/>
      <c r="M1290" s="57"/>
      <c r="O1290" s="69"/>
      <c r="P1290" s="57"/>
    </row>
    <row r="1291" spans="1:16" x14ac:dyDescent="0.2">
      <c r="A1291" s="57"/>
      <c r="B1291" s="69"/>
      <c r="C1291" s="57"/>
      <c r="D1291" s="57"/>
      <c r="E1291" s="57"/>
      <c r="F1291" s="57"/>
      <c r="G1291" s="57"/>
      <c r="H1291" s="57"/>
      <c r="I1291" s="57"/>
      <c r="J1291" s="57"/>
      <c r="K1291" s="57"/>
      <c r="L1291" s="57"/>
      <c r="M1291" s="57"/>
      <c r="O1291" s="69"/>
      <c r="P1291" s="57"/>
    </row>
    <row r="1292" spans="1:16" x14ac:dyDescent="0.2">
      <c r="A1292" s="57"/>
      <c r="B1292" s="69"/>
      <c r="C1292" s="57"/>
      <c r="D1292" s="57"/>
      <c r="E1292" s="57"/>
      <c r="F1292" s="57"/>
      <c r="G1292" s="57"/>
      <c r="H1292" s="57"/>
      <c r="I1292" s="57"/>
      <c r="J1292" s="57"/>
      <c r="K1292" s="57"/>
      <c r="L1292" s="57"/>
      <c r="M1292" s="57"/>
      <c r="O1292" s="69"/>
      <c r="P1292" s="57"/>
    </row>
    <row r="1293" spans="1:16" x14ac:dyDescent="0.2">
      <c r="A1293" s="57"/>
      <c r="B1293" s="69"/>
      <c r="C1293" s="57"/>
      <c r="D1293" s="57"/>
      <c r="E1293" s="57"/>
      <c r="F1293" s="57"/>
      <c r="G1293" s="57"/>
      <c r="H1293" s="57"/>
      <c r="I1293" s="57"/>
      <c r="J1293" s="57"/>
      <c r="K1293" s="57"/>
      <c r="L1293" s="57"/>
      <c r="M1293" s="57"/>
      <c r="O1293" s="69"/>
      <c r="P1293" s="57"/>
    </row>
    <row r="1294" spans="1:16" x14ac:dyDescent="0.2">
      <c r="A1294" s="57"/>
      <c r="B1294" s="69"/>
      <c r="C1294" s="57"/>
      <c r="D1294" s="57"/>
      <c r="E1294" s="57"/>
      <c r="F1294" s="57"/>
      <c r="G1294" s="57"/>
      <c r="H1294" s="57"/>
      <c r="I1294" s="57"/>
      <c r="J1294" s="57"/>
      <c r="K1294" s="57"/>
      <c r="L1294" s="57"/>
      <c r="M1294" s="57"/>
      <c r="O1294" s="69"/>
      <c r="P1294" s="57"/>
    </row>
    <row r="1295" spans="1:16" x14ac:dyDescent="0.2">
      <c r="A1295" s="57"/>
      <c r="B1295" s="69"/>
      <c r="C1295" s="57"/>
      <c r="D1295" s="57"/>
      <c r="E1295" s="57"/>
      <c r="F1295" s="57"/>
      <c r="G1295" s="57"/>
      <c r="H1295" s="57"/>
      <c r="I1295" s="57"/>
      <c r="J1295" s="57"/>
      <c r="K1295" s="57"/>
      <c r="L1295" s="57"/>
      <c r="M1295" s="57"/>
      <c r="O1295" s="69"/>
      <c r="P1295" s="57"/>
    </row>
    <row r="1296" spans="1:16" x14ac:dyDescent="0.2">
      <c r="A1296" s="57"/>
      <c r="B1296" s="69"/>
      <c r="C1296" s="57"/>
      <c r="D1296" s="57"/>
      <c r="E1296" s="57"/>
      <c r="F1296" s="57"/>
      <c r="G1296" s="57"/>
      <c r="H1296" s="57"/>
      <c r="I1296" s="57"/>
      <c r="J1296" s="57"/>
      <c r="K1296" s="57"/>
      <c r="L1296" s="57"/>
      <c r="M1296" s="57"/>
      <c r="O1296" s="69"/>
      <c r="P1296" s="57"/>
    </row>
    <row r="1297" spans="1:16" x14ac:dyDescent="0.2">
      <c r="A1297" s="57"/>
      <c r="B1297" s="69"/>
      <c r="C1297" s="57"/>
      <c r="D1297" s="57"/>
      <c r="E1297" s="57"/>
      <c r="F1297" s="57"/>
      <c r="G1297" s="57"/>
      <c r="H1297" s="57"/>
      <c r="I1297" s="57"/>
      <c r="J1297" s="57"/>
      <c r="K1297" s="57"/>
      <c r="L1297" s="57"/>
      <c r="M1297" s="57"/>
      <c r="O1297" s="69"/>
      <c r="P1297" s="57"/>
    </row>
    <row r="1298" spans="1:16" x14ac:dyDescent="0.2">
      <c r="A1298" s="57"/>
      <c r="B1298" s="69"/>
      <c r="C1298" s="57"/>
      <c r="D1298" s="57"/>
      <c r="E1298" s="57"/>
      <c r="F1298" s="57"/>
      <c r="G1298" s="57"/>
      <c r="H1298" s="57"/>
      <c r="I1298" s="57"/>
      <c r="J1298" s="57"/>
      <c r="K1298" s="57"/>
      <c r="L1298" s="57"/>
      <c r="M1298" s="57"/>
      <c r="O1298" s="69"/>
      <c r="P1298" s="57"/>
    </row>
    <row r="1299" spans="1:16" x14ac:dyDescent="0.2">
      <c r="A1299" s="57"/>
      <c r="B1299" s="69"/>
      <c r="C1299" s="57"/>
      <c r="D1299" s="57"/>
      <c r="E1299" s="57"/>
      <c r="F1299" s="57"/>
      <c r="G1299" s="57"/>
      <c r="H1299" s="57"/>
      <c r="I1299" s="57"/>
      <c r="J1299" s="57"/>
      <c r="K1299" s="57"/>
      <c r="L1299" s="57"/>
      <c r="M1299" s="57"/>
      <c r="O1299" s="69"/>
      <c r="P1299" s="57"/>
    </row>
    <row r="1300" spans="1:16" x14ac:dyDescent="0.2">
      <c r="A1300" s="57"/>
      <c r="B1300" s="69"/>
      <c r="C1300" s="57"/>
      <c r="D1300" s="57"/>
      <c r="E1300" s="57"/>
      <c r="F1300" s="57"/>
      <c r="G1300" s="57"/>
      <c r="H1300" s="57"/>
      <c r="I1300" s="57"/>
      <c r="J1300" s="57"/>
      <c r="K1300" s="57"/>
      <c r="L1300" s="57"/>
      <c r="M1300" s="57"/>
      <c r="O1300" s="69"/>
      <c r="P1300" s="57"/>
    </row>
    <row r="1301" spans="1:16" x14ac:dyDescent="0.2">
      <c r="A1301" s="57"/>
      <c r="B1301" s="69"/>
      <c r="C1301" s="57"/>
      <c r="D1301" s="57"/>
      <c r="E1301" s="57"/>
      <c r="F1301" s="57"/>
      <c r="G1301" s="57"/>
      <c r="H1301" s="57"/>
      <c r="I1301" s="57"/>
      <c r="J1301" s="57"/>
      <c r="K1301" s="57"/>
      <c r="L1301" s="57"/>
      <c r="M1301" s="57"/>
      <c r="O1301" s="69"/>
      <c r="P1301" s="57"/>
    </row>
    <row r="1302" spans="1:16" x14ac:dyDescent="0.2">
      <c r="A1302" s="57"/>
      <c r="B1302" s="69"/>
      <c r="C1302" s="57"/>
      <c r="D1302" s="57"/>
      <c r="E1302" s="57"/>
      <c r="F1302" s="57"/>
      <c r="G1302" s="57"/>
      <c r="H1302" s="57"/>
      <c r="I1302" s="57"/>
      <c r="J1302" s="57"/>
      <c r="K1302" s="57"/>
      <c r="L1302" s="57"/>
      <c r="M1302" s="57"/>
      <c r="O1302" s="69"/>
      <c r="P1302" s="57"/>
    </row>
    <row r="1303" spans="1:16" x14ac:dyDescent="0.2">
      <c r="A1303" s="57"/>
      <c r="B1303" s="69"/>
      <c r="C1303" s="57"/>
      <c r="D1303" s="57"/>
      <c r="E1303" s="57"/>
      <c r="F1303" s="57"/>
      <c r="G1303" s="57"/>
      <c r="H1303" s="57"/>
      <c r="I1303" s="57"/>
      <c r="J1303" s="57"/>
      <c r="K1303" s="57"/>
      <c r="L1303" s="57"/>
      <c r="M1303" s="57"/>
      <c r="O1303" s="69"/>
      <c r="P1303" s="57"/>
    </row>
    <row r="1304" spans="1:16" x14ac:dyDescent="0.2">
      <c r="A1304" s="57"/>
      <c r="B1304" s="69"/>
      <c r="C1304" s="57"/>
      <c r="D1304" s="57"/>
      <c r="E1304" s="57"/>
      <c r="F1304" s="57"/>
      <c r="G1304" s="57"/>
      <c r="H1304" s="57"/>
      <c r="I1304" s="57"/>
      <c r="J1304" s="57"/>
      <c r="K1304" s="57"/>
      <c r="L1304" s="57"/>
      <c r="M1304" s="57"/>
      <c r="O1304" s="69"/>
      <c r="P1304" s="57"/>
    </row>
    <row r="1305" spans="1:16" x14ac:dyDescent="0.2">
      <c r="A1305" s="57"/>
      <c r="B1305" s="69"/>
      <c r="C1305" s="57"/>
      <c r="D1305" s="57"/>
      <c r="E1305" s="57"/>
      <c r="F1305" s="57"/>
      <c r="G1305" s="57"/>
      <c r="H1305" s="57"/>
      <c r="I1305" s="57"/>
      <c r="J1305" s="57"/>
      <c r="K1305" s="57"/>
      <c r="L1305" s="57"/>
      <c r="M1305" s="57"/>
      <c r="O1305" s="69"/>
      <c r="P1305" s="57"/>
    </row>
    <row r="1306" spans="1:16" x14ac:dyDescent="0.2">
      <c r="A1306" s="57"/>
      <c r="B1306" s="69"/>
      <c r="C1306" s="57"/>
      <c r="D1306" s="57"/>
      <c r="E1306" s="57"/>
      <c r="F1306" s="57"/>
      <c r="G1306" s="57"/>
      <c r="H1306" s="57"/>
      <c r="I1306" s="57"/>
      <c r="J1306" s="57"/>
      <c r="K1306" s="57"/>
      <c r="L1306" s="57"/>
      <c r="M1306" s="57"/>
      <c r="O1306" s="69"/>
      <c r="P1306" s="57"/>
    </row>
    <row r="1307" spans="1:16" x14ac:dyDescent="0.2">
      <c r="A1307" s="57"/>
      <c r="B1307" s="69"/>
      <c r="C1307" s="57"/>
      <c r="D1307" s="57"/>
      <c r="E1307" s="57"/>
      <c r="F1307" s="57"/>
      <c r="G1307" s="57"/>
      <c r="H1307" s="57"/>
      <c r="I1307" s="57"/>
      <c r="J1307" s="57"/>
      <c r="K1307" s="57"/>
      <c r="L1307" s="57"/>
      <c r="M1307" s="57"/>
      <c r="O1307" s="69"/>
      <c r="P1307" s="57"/>
    </row>
    <row r="1308" spans="1:16" x14ac:dyDescent="0.2">
      <c r="A1308" s="57"/>
      <c r="B1308" s="69"/>
      <c r="C1308" s="57"/>
      <c r="D1308" s="57"/>
      <c r="E1308" s="57"/>
      <c r="F1308" s="57"/>
      <c r="G1308" s="57"/>
      <c r="H1308" s="57"/>
      <c r="I1308" s="57"/>
      <c r="J1308" s="57"/>
      <c r="K1308" s="57"/>
      <c r="L1308" s="57"/>
      <c r="M1308" s="57"/>
      <c r="O1308" s="69"/>
      <c r="P1308" s="57"/>
    </row>
    <row r="1309" spans="1:16" x14ac:dyDescent="0.2">
      <c r="A1309" s="57"/>
      <c r="B1309" s="69"/>
      <c r="C1309" s="57"/>
      <c r="D1309" s="57"/>
      <c r="E1309" s="57"/>
      <c r="F1309" s="57"/>
      <c r="G1309" s="57"/>
      <c r="H1309" s="57"/>
      <c r="I1309" s="57"/>
      <c r="J1309" s="57"/>
      <c r="K1309" s="57"/>
      <c r="L1309" s="57"/>
      <c r="M1309" s="57"/>
      <c r="O1309" s="69"/>
      <c r="P1309" s="57"/>
    </row>
    <row r="1310" spans="1:16" x14ac:dyDescent="0.2">
      <c r="A1310" s="57"/>
      <c r="B1310" s="69"/>
      <c r="C1310" s="57"/>
      <c r="D1310" s="57"/>
      <c r="E1310" s="57"/>
      <c r="F1310" s="57"/>
      <c r="G1310" s="57"/>
      <c r="H1310" s="57"/>
      <c r="I1310" s="57"/>
      <c r="J1310" s="57"/>
      <c r="K1310" s="57"/>
      <c r="L1310" s="57"/>
      <c r="M1310" s="57"/>
      <c r="O1310" s="69"/>
      <c r="P1310" s="57"/>
    </row>
    <row r="1311" spans="1:16" x14ac:dyDescent="0.2">
      <c r="A1311" s="57"/>
      <c r="B1311" s="69"/>
      <c r="C1311" s="57"/>
      <c r="D1311" s="57"/>
      <c r="E1311" s="57"/>
      <c r="F1311" s="57"/>
      <c r="G1311" s="57"/>
      <c r="H1311" s="57"/>
      <c r="I1311" s="57"/>
      <c r="J1311" s="57"/>
      <c r="K1311" s="57"/>
      <c r="L1311" s="57"/>
      <c r="M1311" s="57"/>
      <c r="O1311" s="69"/>
      <c r="P1311" s="57"/>
    </row>
    <row r="1312" spans="1:16" x14ac:dyDescent="0.2">
      <c r="A1312" s="57"/>
      <c r="B1312" s="69"/>
      <c r="C1312" s="57"/>
      <c r="D1312" s="57"/>
      <c r="E1312" s="57"/>
      <c r="F1312" s="57"/>
      <c r="G1312" s="57"/>
      <c r="H1312" s="57"/>
      <c r="I1312" s="57"/>
      <c r="J1312" s="57"/>
      <c r="K1312" s="57"/>
      <c r="L1312" s="57"/>
      <c r="M1312" s="57"/>
      <c r="O1312" s="69"/>
      <c r="P1312" s="57"/>
    </row>
    <row r="1313" spans="1:16" x14ac:dyDescent="0.2">
      <c r="A1313" s="57"/>
      <c r="B1313" s="69"/>
      <c r="C1313" s="57"/>
      <c r="D1313" s="57"/>
      <c r="E1313" s="57"/>
      <c r="F1313" s="57"/>
      <c r="G1313" s="57"/>
      <c r="H1313" s="57"/>
      <c r="I1313" s="57"/>
      <c r="J1313" s="57"/>
      <c r="K1313" s="57"/>
      <c r="L1313" s="57"/>
      <c r="M1313" s="57"/>
      <c r="O1313" s="69"/>
      <c r="P1313" s="57"/>
    </row>
    <row r="1314" spans="1:16" x14ac:dyDescent="0.2">
      <c r="A1314" s="57"/>
      <c r="B1314" s="69"/>
      <c r="C1314" s="57"/>
      <c r="D1314" s="57"/>
      <c r="E1314" s="57"/>
      <c r="F1314" s="57"/>
      <c r="G1314" s="57"/>
      <c r="H1314" s="57"/>
      <c r="I1314" s="57"/>
      <c r="J1314" s="57"/>
      <c r="K1314" s="57"/>
      <c r="L1314" s="57"/>
      <c r="M1314" s="57"/>
      <c r="O1314" s="69"/>
      <c r="P1314" s="57"/>
    </row>
    <row r="1315" spans="1:16" x14ac:dyDescent="0.2">
      <c r="A1315" s="57"/>
      <c r="B1315" s="69"/>
      <c r="C1315" s="57"/>
      <c r="D1315" s="57"/>
      <c r="E1315" s="57"/>
      <c r="F1315" s="57"/>
      <c r="G1315" s="57"/>
      <c r="H1315" s="57"/>
      <c r="I1315" s="57"/>
      <c r="J1315" s="57"/>
      <c r="K1315" s="57"/>
      <c r="L1315" s="57"/>
      <c r="M1315" s="57"/>
      <c r="O1315" s="69"/>
      <c r="P1315" s="57"/>
    </row>
    <row r="1316" spans="1:16" x14ac:dyDescent="0.2">
      <c r="A1316" s="57"/>
      <c r="B1316" s="69"/>
      <c r="C1316" s="57"/>
      <c r="D1316" s="57"/>
      <c r="E1316" s="57"/>
      <c r="F1316" s="57"/>
      <c r="G1316" s="57"/>
      <c r="H1316" s="57"/>
      <c r="I1316" s="57"/>
      <c r="J1316" s="57"/>
      <c r="K1316" s="57"/>
      <c r="L1316" s="57"/>
      <c r="M1316" s="57"/>
      <c r="O1316" s="69"/>
      <c r="P1316" s="57"/>
    </row>
    <row r="1317" spans="1:16" x14ac:dyDescent="0.2">
      <c r="A1317" s="57"/>
      <c r="B1317" s="69"/>
      <c r="C1317" s="57"/>
      <c r="D1317" s="57"/>
      <c r="E1317" s="57"/>
      <c r="F1317" s="57"/>
      <c r="G1317" s="57"/>
      <c r="H1317" s="57"/>
      <c r="I1317" s="57"/>
      <c r="J1317" s="57"/>
      <c r="K1317" s="57"/>
      <c r="L1317" s="57"/>
      <c r="M1317" s="57"/>
      <c r="O1317" s="69"/>
      <c r="P1317" s="57"/>
    </row>
    <row r="1318" spans="1:16" x14ac:dyDescent="0.2">
      <c r="A1318" s="57"/>
      <c r="B1318" s="69"/>
      <c r="C1318" s="57"/>
      <c r="D1318" s="57"/>
      <c r="E1318" s="57"/>
      <c r="F1318" s="57"/>
      <c r="G1318" s="57"/>
      <c r="H1318" s="57"/>
      <c r="I1318" s="57"/>
      <c r="J1318" s="57"/>
      <c r="K1318" s="57"/>
      <c r="L1318" s="57"/>
      <c r="M1318" s="57"/>
      <c r="O1318" s="69"/>
      <c r="P1318" s="57"/>
    </row>
    <row r="1319" spans="1:16" x14ac:dyDescent="0.2">
      <c r="A1319" s="57"/>
      <c r="B1319" s="69"/>
      <c r="C1319" s="57"/>
      <c r="D1319" s="57"/>
      <c r="E1319" s="57"/>
      <c r="F1319" s="57"/>
      <c r="G1319" s="57"/>
      <c r="H1319" s="57"/>
      <c r="I1319" s="57"/>
      <c r="J1319" s="57"/>
      <c r="K1319" s="57"/>
      <c r="L1319" s="57"/>
      <c r="M1319" s="57"/>
      <c r="O1319" s="69"/>
      <c r="P1319" s="57"/>
    </row>
    <row r="1320" spans="1:16" x14ac:dyDescent="0.2">
      <c r="A1320" s="57"/>
      <c r="B1320" s="69"/>
      <c r="C1320" s="57"/>
      <c r="D1320" s="57"/>
      <c r="E1320" s="57"/>
      <c r="F1320" s="57"/>
      <c r="G1320" s="57"/>
      <c r="H1320" s="57"/>
      <c r="I1320" s="57"/>
      <c r="J1320" s="57"/>
      <c r="K1320" s="57"/>
      <c r="L1320" s="57"/>
      <c r="M1320" s="57"/>
      <c r="O1320" s="69"/>
      <c r="P1320" s="57"/>
    </row>
    <row r="1321" spans="1:16" x14ac:dyDescent="0.2">
      <c r="A1321" s="57"/>
      <c r="B1321" s="69"/>
      <c r="C1321" s="57"/>
      <c r="D1321" s="57"/>
      <c r="E1321" s="57"/>
      <c r="F1321" s="57"/>
      <c r="G1321" s="57"/>
      <c r="H1321" s="57"/>
      <c r="I1321" s="57"/>
      <c r="J1321" s="57"/>
      <c r="K1321" s="57"/>
      <c r="L1321" s="57"/>
      <c r="M1321" s="57"/>
      <c r="O1321" s="69"/>
      <c r="P1321" s="57"/>
    </row>
    <row r="1322" spans="1:16" x14ac:dyDescent="0.2">
      <c r="A1322" s="57"/>
      <c r="B1322" s="69"/>
      <c r="C1322" s="57"/>
      <c r="D1322" s="57"/>
      <c r="E1322" s="57"/>
      <c r="F1322" s="57"/>
      <c r="G1322" s="57"/>
      <c r="H1322" s="57"/>
      <c r="I1322" s="57"/>
      <c r="J1322" s="57"/>
      <c r="K1322" s="57"/>
      <c r="L1322" s="57"/>
      <c r="M1322" s="57"/>
      <c r="O1322" s="69"/>
      <c r="P1322" s="57"/>
    </row>
    <row r="1323" spans="1:16" x14ac:dyDescent="0.2">
      <c r="A1323" s="57"/>
      <c r="B1323" s="69"/>
      <c r="C1323" s="57"/>
      <c r="D1323" s="57"/>
      <c r="E1323" s="57"/>
      <c r="F1323" s="57"/>
      <c r="G1323" s="57"/>
      <c r="H1323" s="57"/>
      <c r="I1323" s="57"/>
      <c r="J1323" s="57"/>
      <c r="K1323" s="57"/>
      <c r="L1323" s="57"/>
      <c r="M1323" s="57"/>
      <c r="O1323" s="69"/>
      <c r="P1323" s="57"/>
    </row>
    <row r="1324" spans="1:16" x14ac:dyDescent="0.2">
      <c r="A1324" s="57"/>
      <c r="B1324" s="69"/>
      <c r="C1324" s="57"/>
      <c r="D1324" s="57"/>
      <c r="E1324" s="57"/>
      <c r="F1324" s="57"/>
      <c r="G1324" s="57"/>
      <c r="H1324" s="57"/>
      <c r="I1324" s="57"/>
      <c r="J1324" s="57"/>
      <c r="K1324" s="57"/>
      <c r="L1324" s="57"/>
      <c r="M1324" s="57"/>
      <c r="O1324" s="69"/>
      <c r="P1324" s="57"/>
    </row>
    <row r="1325" spans="1:16" x14ac:dyDescent="0.2">
      <c r="A1325" s="57"/>
      <c r="B1325" s="69"/>
      <c r="C1325" s="57"/>
      <c r="D1325" s="57"/>
      <c r="E1325" s="57"/>
      <c r="F1325" s="57"/>
      <c r="G1325" s="57"/>
      <c r="H1325" s="57"/>
      <c r="I1325" s="57"/>
      <c r="J1325" s="57"/>
      <c r="K1325" s="57"/>
      <c r="L1325" s="57"/>
      <c r="M1325" s="57"/>
      <c r="O1325" s="69"/>
      <c r="P1325" s="57"/>
    </row>
    <row r="1326" spans="1:16" x14ac:dyDescent="0.2">
      <c r="A1326" s="57"/>
      <c r="B1326" s="69"/>
      <c r="C1326" s="57"/>
      <c r="D1326" s="57"/>
      <c r="E1326" s="57"/>
      <c r="F1326" s="57"/>
      <c r="G1326" s="57"/>
      <c r="H1326" s="57"/>
      <c r="I1326" s="57"/>
      <c r="J1326" s="57"/>
      <c r="K1326" s="57"/>
      <c r="L1326" s="57"/>
      <c r="M1326" s="57"/>
      <c r="O1326" s="69"/>
      <c r="P1326" s="57"/>
    </row>
    <row r="1327" spans="1:16" x14ac:dyDescent="0.2">
      <c r="A1327" s="57"/>
      <c r="B1327" s="69"/>
      <c r="C1327" s="57"/>
      <c r="D1327" s="57"/>
      <c r="E1327" s="57"/>
      <c r="F1327" s="57"/>
      <c r="G1327" s="57"/>
      <c r="H1327" s="57"/>
      <c r="I1327" s="57"/>
      <c r="J1327" s="57"/>
      <c r="K1327" s="57"/>
      <c r="L1327" s="57"/>
      <c r="M1327" s="57"/>
      <c r="O1327" s="69"/>
      <c r="P1327" s="57"/>
    </row>
    <row r="1328" spans="1:16" x14ac:dyDescent="0.2">
      <c r="A1328" s="57"/>
      <c r="B1328" s="69"/>
      <c r="C1328" s="57"/>
      <c r="D1328" s="57"/>
      <c r="E1328" s="57"/>
      <c r="F1328" s="57"/>
      <c r="G1328" s="57"/>
      <c r="H1328" s="57"/>
      <c r="I1328" s="57"/>
      <c r="J1328" s="57"/>
      <c r="K1328" s="57"/>
      <c r="L1328" s="57"/>
      <c r="M1328" s="57"/>
      <c r="O1328" s="69"/>
      <c r="P1328" s="57"/>
    </row>
    <row r="1329" spans="1:16" x14ac:dyDescent="0.2">
      <c r="A1329" s="57"/>
      <c r="B1329" s="69"/>
      <c r="C1329" s="57"/>
      <c r="D1329" s="57"/>
      <c r="E1329" s="57"/>
      <c r="F1329" s="57"/>
      <c r="G1329" s="57"/>
      <c r="H1329" s="57"/>
      <c r="I1329" s="57"/>
      <c r="J1329" s="57"/>
      <c r="K1329" s="57"/>
      <c r="L1329" s="57"/>
      <c r="M1329" s="57"/>
      <c r="O1329" s="69"/>
      <c r="P1329" s="57"/>
    </row>
    <row r="1330" spans="1:16" x14ac:dyDescent="0.2">
      <c r="A1330" s="57"/>
      <c r="B1330" s="69"/>
      <c r="C1330" s="57"/>
      <c r="D1330" s="57"/>
      <c r="E1330" s="57"/>
      <c r="F1330" s="57"/>
      <c r="G1330" s="57"/>
      <c r="H1330" s="57"/>
      <c r="I1330" s="57"/>
      <c r="J1330" s="57"/>
      <c r="K1330" s="57"/>
      <c r="L1330" s="57"/>
      <c r="M1330" s="57"/>
      <c r="O1330" s="69"/>
      <c r="P1330" s="57"/>
    </row>
    <row r="1331" spans="1:16" x14ac:dyDescent="0.2">
      <c r="A1331" s="57"/>
      <c r="B1331" s="69"/>
      <c r="C1331" s="57"/>
      <c r="D1331" s="57"/>
      <c r="E1331" s="57"/>
      <c r="F1331" s="57"/>
      <c r="G1331" s="57"/>
      <c r="H1331" s="57"/>
      <c r="I1331" s="57"/>
      <c r="J1331" s="57"/>
      <c r="K1331" s="57"/>
      <c r="L1331" s="57"/>
      <c r="M1331" s="57"/>
      <c r="O1331" s="69"/>
      <c r="P1331" s="57"/>
    </row>
    <row r="1332" spans="1:16" x14ac:dyDescent="0.2">
      <c r="A1332" s="57"/>
      <c r="B1332" s="69"/>
      <c r="C1332" s="57"/>
      <c r="D1332" s="57"/>
      <c r="E1332" s="57"/>
      <c r="F1332" s="57"/>
      <c r="G1332" s="57"/>
      <c r="H1332" s="57"/>
      <c r="I1332" s="57"/>
      <c r="J1332" s="57"/>
      <c r="K1332" s="57"/>
      <c r="L1332" s="57"/>
      <c r="M1332" s="57"/>
      <c r="O1332" s="69"/>
      <c r="P1332" s="57"/>
    </row>
    <row r="1333" spans="1:16" x14ac:dyDescent="0.2">
      <c r="A1333" s="57"/>
      <c r="B1333" s="69"/>
      <c r="C1333" s="57"/>
      <c r="D1333" s="57"/>
      <c r="E1333" s="57"/>
      <c r="F1333" s="57"/>
      <c r="G1333" s="57"/>
      <c r="H1333" s="57"/>
      <c r="I1333" s="57"/>
      <c r="J1333" s="57"/>
      <c r="K1333" s="57"/>
      <c r="L1333" s="57"/>
      <c r="M1333" s="57"/>
      <c r="O1333" s="69"/>
      <c r="P1333" s="57"/>
    </row>
    <row r="1334" spans="1:16" x14ac:dyDescent="0.2">
      <c r="A1334" s="57"/>
      <c r="B1334" s="69"/>
      <c r="C1334" s="57"/>
      <c r="D1334" s="57"/>
      <c r="E1334" s="57"/>
      <c r="F1334" s="57"/>
      <c r="G1334" s="57"/>
      <c r="H1334" s="57"/>
      <c r="I1334" s="57"/>
      <c r="J1334" s="57"/>
      <c r="K1334" s="57"/>
      <c r="L1334" s="57"/>
      <c r="M1334" s="57"/>
      <c r="O1334" s="69"/>
      <c r="P1334" s="57"/>
    </row>
    <row r="1335" spans="1:16" x14ac:dyDescent="0.2">
      <c r="A1335" s="57"/>
      <c r="B1335" s="69"/>
      <c r="C1335" s="57"/>
      <c r="D1335" s="57"/>
      <c r="E1335" s="57"/>
      <c r="F1335" s="57"/>
      <c r="G1335" s="57"/>
      <c r="H1335" s="57"/>
      <c r="I1335" s="57"/>
      <c r="J1335" s="57"/>
      <c r="K1335" s="57"/>
      <c r="L1335" s="57"/>
      <c r="M1335" s="57"/>
      <c r="O1335" s="69"/>
      <c r="P1335" s="57"/>
    </row>
    <row r="1336" spans="1:16" x14ac:dyDescent="0.2">
      <c r="A1336" s="57"/>
      <c r="B1336" s="69"/>
      <c r="C1336" s="57"/>
      <c r="D1336" s="57"/>
      <c r="E1336" s="57"/>
      <c r="F1336" s="57"/>
      <c r="G1336" s="57"/>
      <c r="H1336" s="57"/>
      <c r="I1336" s="57"/>
      <c r="J1336" s="57"/>
      <c r="K1336" s="57"/>
      <c r="L1336" s="57"/>
      <c r="M1336" s="57"/>
      <c r="O1336" s="69"/>
      <c r="P1336" s="57"/>
    </row>
    <row r="1337" spans="1:16" x14ac:dyDescent="0.2">
      <c r="A1337" s="57"/>
      <c r="B1337" s="69"/>
      <c r="C1337" s="57"/>
      <c r="D1337" s="57"/>
      <c r="E1337" s="57"/>
      <c r="F1337" s="57"/>
      <c r="G1337" s="57"/>
      <c r="H1337" s="57"/>
      <c r="I1337" s="57"/>
      <c r="J1337" s="57"/>
      <c r="K1337" s="57"/>
      <c r="L1337" s="57"/>
      <c r="M1337" s="57"/>
      <c r="O1337" s="69"/>
      <c r="P1337" s="57"/>
    </row>
    <row r="1338" spans="1:16" x14ac:dyDescent="0.2">
      <c r="A1338" s="57"/>
      <c r="B1338" s="69"/>
      <c r="C1338" s="57"/>
      <c r="D1338" s="57"/>
      <c r="E1338" s="57"/>
      <c r="F1338" s="57"/>
      <c r="G1338" s="57"/>
      <c r="H1338" s="57"/>
      <c r="I1338" s="57"/>
      <c r="J1338" s="57"/>
      <c r="K1338" s="57"/>
      <c r="L1338" s="57"/>
      <c r="M1338" s="57"/>
      <c r="O1338" s="69"/>
      <c r="P1338" s="57"/>
    </row>
    <row r="1339" spans="1:16" x14ac:dyDescent="0.2">
      <c r="A1339" s="57"/>
      <c r="B1339" s="69"/>
      <c r="C1339" s="57"/>
      <c r="D1339" s="57"/>
      <c r="E1339" s="57"/>
      <c r="F1339" s="57"/>
      <c r="G1339" s="57"/>
      <c r="H1339" s="57"/>
      <c r="I1339" s="57"/>
      <c r="J1339" s="57"/>
      <c r="K1339" s="57"/>
      <c r="L1339" s="57"/>
      <c r="M1339" s="57"/>
      <c r="O1339" s="69"/>
      <c r="P1339" s="57"/>
    </row>
    <row r="1340" spans="1:16" x14ac:dyDescent="0.2">
      <c r="A1340" s="57"/>
      <c r="B1340" s="69"/>
      <c r="C1340" s="57"/>
      <c r="D1340" s="57"/>
      <c r="E1340" s="57"/>
      <c r="F1340" s="57"/>
      <c r="G1340" s="57"/>
      <c r="H1340" s="57"/>
      <c r="I1340" s="57"/>
      <c r="J1340" s="57"/>
      <c r="K1340" s="57"/>
      <c r="L1340" s="57"/>
      <c r="M1340" s="57"/>
      <c r="O1340" s="69"/>
      <c r="P1340" s="57"/>
    </row>
    <row r="1341" spans="1:16" x14ac:dyDescent="0.2">
      <c r="A1341" s="57"/>
      <c r="B1341" s="69"/>
      <c r="C1341" s="57"/>
      <c r="D1341" s="57"/>
      <c r="E1341" s="57"/>
      <c r="F1341" s="57"/>
      <c r="G1341" s="57"/>
      <c r="H1341" s="57"/>
      <c r="I1341" s="57"/>
      <c r="J1341" s="57"/>
      <c r="K1341" s="57"/>
      <c r="L1341" s="57"/>
      <c r="M1341" s="57"/>
      <c r="O1341" s="69"/>
      <c r="P1341" s="57"/>
    </row>
    <row r="1342" spans="1:16" x14ac:dyDescent="0.2">
      <c r="A1342" s="57"/>
      <c r="B1342" s="69"/>
      <c r="C1342" s="57"/>
      <c r="D1342" s="57"/>
      <c r="E1342" s="57"/>
      <c r="F1342" s="57"/>
      <c r="G1342" s="57"/>
      <c r="H1342" s="57"/>
      <c r="I1342" s="57"/>
      <c r="J1342" s="57"/>
      <c r="K1342" s="57"/>
      <c r="L1342" s="57"/>
      <c r="M1342" s="57"/>
      <c r="O1342" s="69"/>
      <c r="P1342" s="57"/>
    </row>
    <row r="1343" spans="1:16" x14ac:dyDescent="0.2">
      <c r="A1343" s="57"/>
      <c r="B1343" s="69"/>
      <c r="C1343" s="57"/>
      <c r="D1343" s="57"/>
      <c r="E1343" s="57"/>
      <c r="F1343" s="57"/>
      <c r="G1343" s="57"/>
      <c r="H1343" s="57"/>
      <c r="I1343" s="57"/>
      <c r="J1343" s="57"/>
      <c r="K1343" s="57"/>
      <c r="L1343" s="57"/>
      <c r="M1343" s="57"/>
      <c r="O1343" s="69"/>
      <c r="P1343" s="57"/>
    </row>
    <row r="1344" spans="1:16" x14ac:dyDescent="0.2">
      <c r="A1344" s="57"/>
      <c r="B1344" s="69"/>
      <c r="C1344" s="57"/>
      <c r="D1344" s="57"/>
      <c r="E1344" s="57"/>
      <c r="F1344" s="57"/>
      <c r="G1344" s="57"/>
      <c r="H1344" s="57"/>
      <c r="I1344" s="57"/>
      <c r="J1344" s="57"/>
      <c r="K1344" s="57"/>
      <c r="L1344" s="57"/>
      <c r="M1344" s="57"/>
      <c r="O1344" s="69"/>
      <c r="P1344" s="57"/>
    </row>
    <row r="1345" spans="1:16" x14ac:dyDescent="0.2">
      <c r="A1345" s="57"/>
      <c r="B1345" s="69"/>
      <c r="C1345" s="57"/>
      <c r="D1345" s="57"/>
      <c r="E1345" s="57"/>
      <c r="F1345" s="57"/>
      <c r="G1345" s="57"/>
      <c r="H1345" s="57"/>
      <c r="I1345" s="57"/>
      <c r="J1345" s="57"/>
      <c r="K1345" s="57"/>
      <c r="L1345" s="57"/>
      <c r="M1345" s="57"/>
      <c r="O1345" s="69"/>
      <c r="P1345" s="57"/>
    </row>
    <row r="1346" spans="1:16" x14ac:dyDescent="0.2">
      <c r="A1346" s="57"/>
      <c r="B1346" s="69"/>
      <c r="C1346" s="57"/>
      <c r="D1346" s="57"/>
      <c r="E1346" s="57"/>
      <c r="F1346" s="57"/>
      <c r="G1346" s="57"/>
      <c r="H1346" s="57"/>
      <c r="I1346" s="57"/>
      <c r="J1346" s="57"/>
      <c r="K1346" s="57"/>
      <c r="L1346" s="57"/>
      <c r="M1346" s="57"/>
      <c r="O1346" s="69"/>
      <c r="P1346" s="57"/>
    </row>
    <row r="1347" spans="1:16" x14ac:dyDescent="0.2">
      <c r="A1347" s="57"/>
      <c r="B1347" s="69"/>
      <c r="C1347" s="57"/>
      <c r="D1347" s="57"/>
      <c r="E1347" s="57"/>
      <c r="F1347" s="57"/>
      <c r="G1347" s="57"/>
      <c r="H1347" s="57"/>
      <c r="I1347" s="57"/>
      <c r="J1347" s="57"/>
      <c r="K1347" s="57"/>
      <c r="L1347" s="57"/>
      <c r="M1347" s="57"/>
      <c r="O1347" s="69"/>
      <c r="P1347" s="57"/>
    </row>
    <row r="1348" spans="1:16" x14ac:dyDescent="0.2">
      <c r="A1348" s="57"/>
      <c r="B1348" s="69"/>
      <c r="C1348" s="57"/>
      <c r="D1348" s="57"/>
      <c r="E1348" s="57"/>
      <c r="F1348" s="57"/>
      <c r="G1348" s="57"/>
      <c r="H1348" s="57"/>
      <c r="I1348" s="57"/>
      <c r="J1348" s="57"/>
      <c r="K1348" s="57"/>
      <c r="L1348" s="57"/>
      <c r="M1348" s="57"/>
      <c r="O1348" s="69"/>
      <c r="P1348" s="57"/>
    </row>
    <row r="1349" spans="1:16" x14ac:dyDescent="0.2">
      <c r="A1349" s="57"/>
      <c r="B1349" s="69"/>
      <c r="C1349" s="57"/>
      <c r="D1349" s="57"/>
      <c r="E1349" s="57"/>
      <c r="F1349" s="57"/>
      <c r="G1349" s="57"/>
      <c r="H1349" s="57"/>
      <c r="I1349" s="57"/>
      <c r="J1349" s="57"/>
      <c r="K1349" s="57"/>
      <c r="L1349" s="57"/>
      <c r="M1349" s="57"/>
      <c r="O1349" s="69"/>
      <c r="P1349" s="57"/>
    </row>
    <row r="1350" spans="1:16" x14ac:dyDescent="0.2">
      <c r="A1350" s="57"/>
      <c r="B1350" s="69"/>
      <c r="C1350" s="57"/>
      <c r="D1350" s="57"/>
      <c r="E1350" s="57"/>
      <c r="F1350" s="57"/>
      <c r="G1350" s="57"/>
      <c r="H1350" s="57"/>
      <c r="I1350" s="57"/>
      <c r="J1350" s="57"/>
      <c r="K1350" s="57"/>
      <c r="L1350" s="57"/>
      <c r="M1350" s="57"/>
      <c r="O1350" s="69"/>
      <c r="P1350" s="57"/>
    </row>
    <row r="1351" spans="1:16" x14ac:dyDescent="0.2">
      <c r="A1351" s="57"/>
      <c r="B1351" s="69"/>
      <c r="C1351" s="57"/>
      <c r="D1351" s="57"/>
      <c r="E1351" s="57"/>
      <c r="F1351" s="57"/>
      <c r="G1351" s="57"/>
      <c r="H1351" s="57"/>
      <c r="I1351" s="57"/>
      <c r="J1351" s="57"/>
      <c r="K1351" s="57"/>
      <c r="L1351" s="57"/>
      <c r="M1351" s="57"/>
      <c r="O1351" s="69"/>
      <c r="P1351" s="57"/>
    </row>
    <row r="1352" spans="1:16" x14ac:dyDescent="0.2">
      <c r="A1352" s="57"/>
      <c r="B1352" s="69"/>
      <c r="C1352" s="57"/>
      <c r="D1352" s="57"/>
      <c r="E1352" s="57"/>
      <c r="F1352" s="57"/>
      <c r="G1352" s="57"/>
      <c r="H1352" s="57"/>
      <c r="I1352" s="57"/>
      <c r="J1352" s="57"/>
      <c r="K1352" s="57"/>
      <c r="L1352" s="57"/>
      <c r="M1352" s="57"/>
      <c r="O1352" s="69"/>
      <c r="P1352" s="57"/>
    </row>
    <row r="1353" spans="1:16" x14ac:dyDescent="0.2">
      <c r="A1353" s="57"/>
      <c r="B1353" s="69"/>
      <c r="C1353" s="57"/>
      <c r="D1353" s="57"/>
      <c r="E1353" s="57"/>
      <c r="F1353" s="57"/>
      <c r="G1353" s="57"/>
      <c r="H1353" s="57"/>
      <c r="I1353" s="57"/>
      <c r="J1353" s="57"/>
      <c r="K1353" s="57"/>
      <c r="L1353" s="57"/>
      <c r="M1353" s="57"/>
      <c r="O1353" s="69"/>
      <c r="P1353" s="57"/>
    </row>
    <row r="1354" spans="1:16" x14ac:dyDescent="0.2">
      <c r="A1354" s="57"/>
      <c r="B1354" s="69"/>
      <c r="C1354" s="57"/>
      <c r="D1354" s="57"/>
      <c r="E1354" s="57"/>
      <c r="F1354" s="57"/>
      <c r="G1354" s="57"/>
      <c r="H1354" s="57"/>
      <c r="I1354" s="57"/>
      <c r="J1354" s="57"/>
      <c r="K1354" s="57"/>
      <c r="L1354" s="57"/>
      <c r="M1354" s="57"/>
      <c r="O1354" s="69"/>
      <c r="P1354" s="57"/>
    </row>
    <row r="1355" spans="1:16" x14ac:dyDescent="0.2">
      <c r="A1355" s="57"/>
      <c r="B1355" s="69"/>
      <c r="C1355" s="57"/>
      <c r="D1355" s="57"/>
      <c r="E1355" s="57"/>
      <c r="F1355" s="57"/>
      <c r="G1355" s="57"/>
      <c r="H1355" s="57"/>
      <c r="I1355" s="57"/>
      <c r="J1355" s="57"/>
      <c r="K1355" s="57"/>
      <c r="L1355" s="57"/>
      <c r="M1355" s="57"/>
      <c r="O1355" s="69"/>
      <c r="P1355" s="57"/>
    </row>
    <row r="1356" spans="1:16" x14ac:dyDescent="0.2">
      <c r="A1356" s="57"/>
      <c r="B1356" s="69"/>
      <c r="C1356" s="57"/>
      <c r="D1356" s="57"/>
      <c r="E1356" s="57"/>
      <c r="F1356" s="57"/>
      <c r="G1356" s="57"/>
      <c r="H1356" s="57"/>
      <c r="I1356" s="57"/>
      <c r="J1356" s="57"/>
      <c r="K1356" s="57"/>
      <c r="L1356" s="57"/>
      <c r="M1356" s="57"/>
      <c r="O1356" s="69"/>
      <c r="P1356" s="57"/>
    </row>
    <row r="1357" spans="1:16" x14ac:dyDescent="0.2">
      <c r="A1357" s="57"/>
      <c r="B1357" s="69"/>
      <c r="C1357" s="57"/>
      <c r="D1357" s="57"/>
      <c r="E1357" s="57"/>
      <c r="F1357" s="57"/>
      <c r="G1357" s="57"/>
      <c r="H1357" s="57"/>
      <c r="I1357" s="57"/>
      <c r="J1357" s="57"/>
      <c r="K1357" s="57"/>
      <c r="L1357" s="57"/>
      <c r="M1357" s="57"/>
      <c r="O1357" s="69"/>
      <c r="P1357" s="57"/>
    </row>
    <row r="1358" spans="1:16" x14ac:dyDescent="0.2">
      <c r="A1358" s="57"/>
      <c r="B1358" s="69"/>
      <c r="C1358" s="57"/>
      <c r="D1358" s="57"/>
      <c r="E1358" s="57"/>
      <c r="F1358" s="57"/>
      <c r="G1358" s="57"/>
      <c r="H1358" s="57"/>
      <c r="I1358" s="57"/>
      <c r="J1358" s="57"/>
      <c r="K1358" s="57"/>
      <c r="L1358" s="57"/>
      <c r="M1358" s="57"/>
      <c r="O1358" s="69"/>
      <c r="P1358" s="57"/>
    </row>
    <row r="1359" spans="1:16" x14ac:dyDescent="0.2">
      <c r="A1359" s="57"/>
      <c r="B1359" s="69"/>
      <c r="C1359" s="57"/>
      <c r="D1359" s="57"/>
      <c r="E1359" s="57"/>
      <c r="F1359" s="57"/>
      <c r="G1359" s="57"/>
      <c r="H1359" s="57"/>
      <c r="I1359" s="57"/>
      <c r="J1359" s="57"/>
      <c r="K1359" s="57"/>
      <c r="L1359" s="57"/>
      <c r="M1359" s="57"/>
      <c r="O1359" s="69"/>
      <c r="P1359" s="57"/>
    </row>
    <row r="1360" spans="1:16" x14ac:dyDescent="0.2">
      <c r="A1360" s="57"/>
      <c r="B1360" s="69"/>
      <c r="C1360" s="57"/>
      <c r="D1360" s="57"/>
      <c r="E1360" s="57"/>
      <c r="F1360" s="57"/>
      <c r="G1360" s="57"/>
      <c r="H1360" s="57"/>
      <c r="I1360" s="57"/>
      <c r="J1360" s="57"/>
      <c r="K1360" s="57"/>
      <c r="L1360" s="57"/>
      <c r="M1360" s="57"/>
      <c r="O1360" s="69"/>
      <c r="P1360" s="57"/>
    </row>
    <row r="1361" spans="1:16" x14ac:dyDescent="0.2">
      <c r="A1361" s="57"/>
      <c r="B1361" s="69"/>
      <c r="C1361" s="57"/>
      <c r="D1361" s="57"/>
      <c r="E1361" s="57"/>
      <c r="F1361" s="57"/>
      <c r="G1361" s="57"/>
      <c r="H1361" s="57"/>
      <c r="I1361" s="57"/>
      <c r="J1361" s="57"/>
      <c r="K1361" s="57"/>
      <c r="L1361" s="57"/>
      <c r="M1361" s="57"/>
      <c r="O1361" s="69"/>
      <c r="P1361" s="57"/>
    </row>
    <row r="1362" spans="1:16" x14ac:dyDescent="0.2">
      <c r="A1362" s="57"/>
      <c r="B1362" s="69"/>
      <c r="C1362" s="57"/>
      <c r="D1362" s="57"/>
      <c r="E1362" s="57"/>
      <c r="F1362" s="57"/>
      <c r="G1362" s="57"/>
      <c r="H1362" s="57"/>
      <c r="I1362" s="57"/>
      <c r="J1362" s="57"/>
      <c r="K1362" s="57"/>
      <c r="L1362" s="57"/>
      <c r="M1362" s="57"/>
      <c r="O1362" s="69"/>
      <c r="P1362" s="57"/>
    </row>
    <row r="1363" spans="1:16" x14ac:dyDescent="0.2">
      <c r="A1363" s="57"/>
      <c r="B1363" s="69"/>
      <c r="C1363" s="57"/>
      <c r="D1363" s="57"/>
      <c r="E1363" s="57"/>
      <c r="F1363" s="57"/>
      <c r="G1363" s="57"/>
      <c r="H1363" s="57"/>
      <c r="I1363" s="57"/>
      <c r="J1363" s="57"/>
      <c r="K1363" s="57"/>
      <c r="L1363" s="57"/>
      <c r="M1363" s="57"/>
      <c r="O1363" s="69"/>
      <c r="P1363" s="57"/>
    </row>
    <row r="1364" spans="1:16" x14ac:dyDescent="0.2">
      <c r="A1364" s="57"/>
      <c r="B1364" s="69"/>
      <c r="C1364" s="57"/>
      <c r="D1364" s="57"/>
      <c r="E1364" s="57"/>
      <c r="F1364" s="57"/>
      <c r="G1364" s="57"/>
      <c r="H1364" s="57"/>
      <c r="I1364" s="57"/>
      <c r="J1364" s="57"/>
      <c r="K1364" s="57"/>
      <c r="L1364" s="57"/>
      <c r="M1364" s="57"/>
      <c r="O1364" s="69"/>
      <c r="P1364" s="57"/>
    </row>
    <row r="1365" spans="1:16" x14ac:dyDescent="0.2">
      <c r="A1365" s="57"/>
      <c r="B1365" s="69"/>
      <c r="C1365" s="57"/>
      <c r="D1365" s="57"/>
      <c r="E1365" s="57"/>
      <c r="F1365" s="57"/>
      <c r="G1365" s="57"/>
      <c r="H1365" s="57"/>
      <c r="I1365" s="57"/>
      <c r="J1365" s="57"/>
      <c r="K1365" s="57"/>
      <c r="L1365" s="57"/>
      <c r="M1365" s="57"/>
      <c r="O1365" s="69"/>
      <c r="P1365" s="57"/>
    </row>
    <row r="1366" spans="1:16" x14ac:dyDescent="0.2">
      <c r="A1366" s="57"/>
      <c r="B1366" s="69"/>
      <c r="C1366" s="57"/>
      <c r="D1366" s="57"/>
      <c r="E1366" s="57"/>
      <c r="F1366" s="57"/>
      <c r="G1366" s="57"/>
      <c r="H1366" s="57"/>
      <c r="I1366" s="57"/>
      <c r="J1366" s="57"/>
      <c r="K1366" s="57"/>
      <c r="L1366" s="57"/>
      <c r="M1366" s="57"/>
      <c r="O1366" s="69"/>
      <c r="P1366" s="57"/>
    </row>
    <row r="1367" spans="1:16" x14ac:dyDescent="0.2">
      <c r="A1367" s="57"/>
      <c r="B1367" s="69"/>
      <c r="C1367" s="57"/>
      <c r="D1367" s="57"/>
      <c r="E1367" s="57"/>
      <c r="F1367" s="57"/>
      <c r="G1367" s="57"/>
      <c r="H1367" s="57"/>
      <c r="I1367" s="57"/>
      <c r="J1367" s="57"/>
      <c r="K1367" s="57"/>
      <c r="L1367" s="57"/>
      <c r="M1367" s="57"/>
      <c r="O1367" s="69"/>
      <c r="P1367" s="57"/>
    </row>
    <row r="1368" spans="1:16" x14ac:dyDescent="0.2">
      <c r="A1368" s="57"/>
      <c r="B1368" s="69"/>
      <c r="C1368" s="57"/>
      <c r="D1368" s="57"/>
      <c r="E1368" s="57"/>
      <c r="F1368" s="57"/>
      <c r="G1368" s="57"/>
      <c r="H1368" s="57"/>
      <c r="I1368" s="57"/>
      <c r="J1368" s="57"/>
      <c r="K1368" s="57"/>
      <c r="L1368" s="57"/>
      <c r="M1368" s="57"/>
      <c r="O1368" s="69"/>
      <c r="P1368" s="57"/>
    </row>
    <row r="1369" spans="1:16" x14ac:dyDescent="0.2">
      <c r="A1369" s="57"/>
      <c r="B1369" s="69"/>
      <c r="C1369" s="57"/>
      <c r="D1369" s="57"/>
      <c r="E1369" s="57"/>
      <c r="F1369" s="57"/>
      <c r="G1369" s="57"/>
      <c r="H1369" s="57"/>
      <c r="I1369" s="57"/>
      <c r="J1369" s="57"/>
      <c r="K1369" s="57"/>
      <c r="L1369" s="57"/>
      <c r="M1369" s="57"/>
      <c r="O1369" s="69"/>
      <c r="P1369" s="57"/>
    </row>
    <row r="1370" spans="1:16" x14ac:dyDescent="0.2">
      <c r="A1370" s="57"/>
      <c r="B1370" s="69"/>
      <c r="C1370" s="57"/>
      <c r="D1370" s="57"/>
      <c r="E1370" s="57"/>
      <c r="F1370" s="57"/>
      <c r="G1370" s="57"/>
      <c r="H1370" s="57"/>
      <c r="I1370" s="57"/>
      <c r="J1370" s="57"/>
      <c r="K1370" s="57"/>
      <c r="L1370" s="57"/>
      <c r="M1370" s="57"/>
      <c r="O1370" s="69"/>
      <c r="P1370" s="57"/>
    </row>
    <row r="1371" spans="1:16" x14ac:dyDescent="0.2">
      <c r="A1371" s="57"/>
      <c r="B1371" s="69"/>
      <c r="C1371" s="57"/>
      <c r="D1371" s="57"/>
      <c r="E1371" s="57"/>
      <c r="F1371" s="57"/>
      <c r="G1371" s="57"/>
      <c r="H1371" s="57"/>
      <c r="I1371" s="57"/>
      <c r="J1371" s="57"/>
      <c r="K1371" s="57"/>
      <c r="L1371" s="57"/>
      <c r="M1371" s="57"/>
      <c r="O1371" s="69"/>
      <c r="P1371" s="57"/>
    </row>
    <row r="1372" spans="1:16" x14ac:dyDescent="0.2">
      <c r="A1372" s="57"/>
      <c r="B1372" s="69"/>
      <c r="C1372" s="57"/>
      <c r="D1372" s="57"/>
      <c r="E1372" s="57"/>
      <c r="F1372" s="57"/>
      <c r="G1372" s="57"/>
      <c r="H1372" s="57"/>
      <c r="I1372" s="57"/>
      <c r="J1372" s="57"/>
      <c r="K1372" s="57"/>
      <c r="L1372" s="57"/>
      <c r="M1372" s="57"/>
      <c r="O1372" s="69"/>
      <c r="P1372" s="57"/>
    </row>
    <row r="1373" spans="1:16" x14ac:dyDescent="0.2">
      <c r="A1373" s="57"/>
      <c r="B1373" s="69"/>
      <c r="C1373" s="57"/>
      <c r="D1373" s="57"/>
      <c r="E1373" s="57"/>
      <c r="F1373" s="57"/>
      <c r="G1373" s="57"/>
      <c r="H1373" s="57"/>
      <c r="I1373" s="57"/>
      <c r="J1373" s="57"/>
      <c r="K1373" s="57"/>
      <c r="L1373" s="57"/>
      <c r="M1373" s="57"/>
      <c r="O1373" s="69"/>
      <c r="P1373" s="57"/>
    </row>
    <row r="1374" spans="1:16" x14ac:dyDescent="0.2">
      <c r="A1374" s="57"/>
      <c r="B1374" s="69"/>
      <c r="C1374" s="57"/>
      <c r="D1374" s="57"/>
      <c r="E1374" s="57"/>
      <c r="F1374" s="57"/>
      <c r="G1374" s="57"/>
      <c r="H1374" s="57"/>
      <c r="I1374" s="57"/>
      <c r="J1374" s="57"/>
      <c r="K1374" s="57"/>
      <c r="L1374" s="57"/>
      <c r="M1374" s="57"/>
      <c r="O1374" s="69"/>
      <c r="P1374" s="57"/>
    </row>
    <row r="1375" spans="1:16" x14ac:dyDescent="0.2">
      <c r="A1375" s="57"/>
      <c r="B1375" s="69"/>
      <c r="C1375" s="57"/>
      <c r="D1375" s="57"/>
      <c r="E1375" s="57"/>
      <c r="F1375" s="57"/>
      <c r="G1375" s="57"/>
      <c r="H1375" s="57"/>
      <c r="I1375" s="57"/>
      <c r="J1375" s="57"/>
      <c r="K1375" s="57"/>
      <c r="L1375" s="57"/>
      <c r="M1375" s="57"/>
      <c r="O1375" s="69"/>
      <c r="P1375" s="57"/>
    </row>
    <row r="1376" spans="1:16" x14ac:dyDescent="0.2">
      <c r="A1376" s="57"/>
      <c r="B1376" s="69"/>
      <c r="C1376" s="57"/>
      <c r="D1376" s="57"/>
      <c r="E1376" s="57"/>
      <c r="F1376" s="57"/>
      <c r="G1376" s="57"/>
      <c r="H1376" s="57"/>
      <c r="I1376" s="57"/>
      <c r="J1376" s="57"/>
      <c r="K1376" s="57"/>
      <c r="L1376" s="57"/>
      <c r="M1376" s="57"/>
      <c r="O1376" s="69"/>
      <c r="P1376" s="57"/>
    </row>
    <row r="1377" spans="1:16" x14ac:dyDescent="0.2">
      <c r="A1377" s="57"/>
      <c r="B1377" s="69"/>
      <c r="C1377" s="57"/>
      <c r="D1377" s="57"/>
      <c r="E1377" s="57"/>
      <c r="F1377" s="57"/>
      <c r="G1377" s="57"/>
      <c r="H1377" s="57"/>
      <c r="I1377" s="57"/>
      <c r="J1377" s="57"/>
      <c r="K1377" s="57"/>
      <c r="L1377" s="57"/>
      <c r="M1377" s="57"/>
      <c r="O1377" s="69"/>
      <c r="P1377" s="57"/>
    </row>
    <row r="1378" spans="1:16" x14ac:dyDescent="0.2">
      <c r="A1378" s="57"/>
      <c r="B1378" s="69"/>
      <c r="C1378" s="57"/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O1378" s="69"/>
      <c r="P1378" s="57"/>
    </row>
    <row r="1379" spans="1:16" x14ac:dyDescent="0.2">
      <c r="A1379" s="57"/>
      <c r="B1379" s="69"/>
      <c r="C1379" s="57"/>
      <c r="D1379" s="57"/>
      <c r="E1379" s="57"/>
      <c r="F1379" s="57"/>
      <c r="G1379" s="57"/>
      <c r="H1379" s="57"/>
      <c r="I1379" s="57"/>
      <c r="J1379" s="57"/>
      <c r="K1379" s="57"/>
      <c r="L1379" s="57"/>
      <c r="M1379" s="57"/>
      <c r="O1379" s="69"/>
      <c r="P1379" s="57"/>
    </row>
    <row r="1380" spans="1:16" x14ac:dyDescent="0.2">
      <c r="A1380" s="57"/>
      <c r="B1380" s="69"/>
      <c r="C1380" s="57"/>
      <c r="D1380" s="57"/>
      <c r="E1380" s="57"/>
      <c r="F1380" s="57"/>
      <c r="G1380" s="57"/>
      <c r="H1380" s="57"/>
      <c r="I1380" s="57"/>
      <c r="J1380" s="57"/>
      <c r="K1380" s="57"/>
      <c r="L1380" s="57"/>
      <c r="M1380" s="57"/>
      <c r="O1380" s="69"/>
      <c r="P1380" s="57"/>
    </row>
    <row r="1381" spans="1:16" x14ac:dyDescent="0.2">
      <c r="A1381" s="57"/>
      <c r="B1381" s="69"/>
      <c r="C1381" s="57"/>
      <c r="D1381" s="57"/>
      <c r="E1381" s="57"/>
      <c r="F1381" s="57"/>
      <c r="G1381" s="57"/>
      <c r="H1381" s="57"/>
      <c r="I1381" s="57"/>
      <c r="J1381" s="57"/>
      <c r="K1381" s="57"/>
      <c r="L1381" s="57"/>
      <c r="M1381" s="57"/>
      <c r="O1381" s="69"/>
      <c r="P1381" s="57"/>
    </row>
    <row r="1382" spans="1:16" x14ac:dyDescent="0.2">
      <c r="A1382" s="57"/>
      <c r="B1382" s="69"/>
      <c r="C1382" s="57"/>
      <c r="D1382" s="57"/>
      <c r="E1382" s="57"/>
      <c r="F1382" s="57"/>
      <c r="G1382" s="57"/>
      <c r="H1382" s="57"/>
      <c r="I1382" s="57"/>
      <c r="J1382" s="57"/>
      <c r="K1382" s="57"/>
      <c r="L1382" s="57"/>
      <c r="M1382" s="57"/>
      <c r="O1382" s="69"/>
      <c r="P1382" s="57"/>
    </row>
    <row r="1383" spans="1:16" x14ac:dyDescent="0.2">
      <c r="A1383" s="57"/>
      <c r="B1383" s="69"/>
      <c r="C1383" s="57"/>
      <c r="D1383" s="57"/>
      <c r="E1383" s="57"/>
      <c r="F1383" s="57"/>
      <c r="G1383" s="57"/>
      <c r="H1383" s="57"/>
      <c r="I1383" s="57"/>
      <c r="J1383" s="57"/>
      <c r="K1383" s="57"/>
      <c r="L1383" s="57"/>
      <c r="M1383" s="57"/>
      <c r="O1383" s="69"/>
      <c r="P1383" s="57"/>
    </row>
    <row r="1384" spans="1:16" x14ac:dyDescent="0.2">
      <c r="A1384" s="57"/>
      <c r="B1384" s="69"/>
      <c r="C1384" s="57"/>
      <c r="D1384" s="57"/>
      <c r="E1384" s="57"/>
      <c r="F1384" s="57"/>
      <c r="G1384" s="57"/>
      <c r="H1384" s="57"/>
      <c r="I1384" s="57"/>
      <c r="J1384" s="57"/>
      <c r="K1384" s="57"/>
      <c r="L1384" s="57"/>
      <c r="M1384" s="57"/>
      <c r="O1384" s="69"/>
      <c r="P1384" s="57"/>
    </row>
    <row r="1385" spans="1:16" x14ac:dyDescent="0.2">
      <c r="A1385" s="57"/>
      <c r="B1385" s="69"/>
      <c r="C1385" s="57"/>
      <c r="D1385" s="57"/>
      <c r="E1385" s="57"/>
      <c r="F1385" s="57"/>
      <c r="G1385" s="57"/>
      <c r="H1385" s="57"/>
      <c r="I1385" s="57"/>
      <c r="J1385" s="57"/>
      <c r="K1385" s="57"/>
      <c r="L1385" s="57"/>
      <c r="M1385" s="57"/>
      <c r="O1385" s="69"/>
      <c r="P1385" s="57"/>
    </row>
    <row r="1386" spans="1:16" x14ac:dyDescent="0.2">
      <c r="A1386" s="57"/>
      <c r="B1386" s="69"/>
      <c r="C1386" s="57"/>
      <c r="D1386" s="57"/>
      <c r="E1386" s="57"/>
      <c r="F1386" s="57"/>
      <c r="G1386" s="57"/>
      <c r="H1386" s="57"/>
      <c r="I1386" s="57"/>
      <c r="J1386" s="57"/>
      <c r="K1386" s="57"/>
      <c r="L1386" s="57"/>
      <c r="M1386" s="57"/>
      <c r="O1386" s="69"/>
      <c r="P1386" s="57"/>
    </row>
    <row r="1387" spans="1:16" x14ac:dyDescent="0.2">
      <c r="A1387" s="57"/>
      <c r="B1387" s="69"/>
      <c r="C1387" s="57"/>
      <c r="D1387" s="57"/>
      <c r="E1387" s="57"/>
      <c r="F1387" s="57"/>
      <c r="G1387" s="57"/>
      <c r="H1387" s="57"/>
      <c r="I1387" s="57"/>
      <c r="J1387" s="57"/>
      <c r="K1387" s="57"/>
      <c r="L1387" s="57"/>
      <c r="M1387" s="57"/>
      <c r="O1387" s="69"/>
      <c r="P1387" s="57"/>
    </row>
    <row r="1388" spans="1:16" x14ac:dyDescent="0.2">
      <c r="A1388" s="57"/>
      <c r="B1388" s="69"/>
      <c r="C1388" s="57"/>
      <c r="D1388" s="57"/>
      <c r="E1388" s="57"/>
      <c r="F1388" s="57"/>
      <c r="G1388" s="57"/>
      <c r="H1388" s="57"/>
      <c r="I1388" s="57"/>
      <c r="J1388" s="57"/>
      <c r="K1388" s="57"/>
      <c r="L1388" s="57"/>
      <c r="M1388" s="57"/>
      <c r="O1388" s="69"/>
      <c r="P1388" s="57"/>
    </row>
    <row r="1389" spans="1:16" x14ac:dyDescent="0.2">
      <c r="A1389" s="57"/>
      <c r="B1389" s="69"/>
      <c r="C1389" s="57"/>
      <c r="D1389" s="57"/>
      <c r="E1389" s="57"/>
      <c r="F1389" s="57"/>
      <c r="G1389" s="57"/>
      <c r="H1389" s="57"/>
      <c r="I1389" s="57"/>
      <c r="J1389" s="57"/>
      <c r="K1389" s="57"/>
      <c r="L1389" s="57"/>
      <c r="M1389" s="57"/>
      <c r="O1389" s="69"/>
      <c r="P1389" s="57"/>
    </row>
    <row r="1390" spans="1:16" x14ac:dyDescent="0.2">
      <c r="A1390" s="57"/>
      <c r="B1390" s="69"/>
      <c r="C1390" s="57"/>
      <c r="D1390" s="57"/>
      <c r="E1390" s="57"/>
      <c r="F1390" s="57"/>
      <c r="G1390" s="57"/>
      <c r="H1390" s="57"/>
      <c r="I1390" s="57"/>
      <c r="J1390" s="57"/>
      <c r="K1390" s="57"/>
      <c r="L1390" s="57"/>
      <c r="M1390" s="57"/>
      <c r="O1390" s="69"/>
      <c r="P1390" s="57"/>
    </row>
    <row r="1391" spans="1:16" x14ac:dyDescent="0.2">
      <c r="A1391" s="57"/>
      <c r="B1391" s="69"/>
      <c r="C1391" s="57"/>
      <c r="D1391" s="57"/>
      <c r="E1391" s="57"/>
      <c r="F1391" s="57"/>
      <c r="G1391" s="57"/>
      <c r="H1391" s="57"/>
      <c r="I1391" s="57"/>
      <c r="J1391" s="57"/>
      <c r="K1391" s="57"/>
      <c r="L1391" s="57"/>
      <c r="M1391" s="57"/>
      <c r="O1391" s="69"/>
      <c r="P1391" s="57"/>
    </row>
    <row r="1392" spans="1:16" x14ac:dyDescent="0.2">
      <c r="A1392" s="57"/>
      <c r="B1392" s="69"/>
      <c r="C1392" s="57"/>
      <c r="D1392" s="57"/>
      <c r="E1392" s="57"/>
      <c r="F1392" s="57"/>
      <c r="G1392" s="57"/>
      <c r="H1392" s="57"/>
      <c r="I1392" s="57"/>
      <c r="J1392" s="57"/>
      <c r="K1392" s="57"/>
      <c r="L1392" s="57"/>
      <c r="M1392" s="57"/>
      <c r="O1392" s="69"/>
      <c r="P1392" s="57"/>
    </row>
    <row r="1393" spans="1:16" x14ac:dyDescent="0.2">
      <c r="A1393" s="57"/>
      <c r="B1393" s="69"/>
      <c r="C1393" s="57"/>
      <c r="D1393" s="57"/>
      <c r="E1393" s="57"/>
      <c r="F1393" s="57"/>
      <c r="G1393" s="57"/>
      <c r="H1393" s="57"/>
      <c r="I1393" s="57"/>
      <c r="J1393" s="57"/>
      <c r="K1393" s="57"/>
      <c r="L1393" s="57"/>
      <c r="M1393" s="57"/>
      <c r="O1393" s="69"/>
      <c r="P1393" s="57"/>
    </row>
    <row r="1394" spans="1:16" x14ac:dyDescent="0.2">
      <c r="A1394" s="57"/>
      <c r="B1394" s="69"/>
      <c r="C1394" s="57"/>
      <c r="D1394" s="57"/>
      <c r="E1394" s="57"/>
      <c r="F1394" s="57"/>
      <c r="G1394" s="57"/>
      <c r="H1394" s="57"/>
      <c r="I1394" s="57"/>
      <c r="J1394" s="57"/>
      <c r="K1394" s="57"/>
      <c r="L1394" s="57"/>
      <c r="M1394" s="57"/>
      <c r="O1394" s="69"/>
      <c r="P1394" s="57"/>
    </row>
    <row r="1395" spans="1:16" x14ac:dyDescent="0.2">
      <c r="A1395" s="57"/>
      <c r="B1395" s="69"/>
      <c r="C1395" s="57"/>
      <c r="D1395" s="57"/>
      <c r="E1395" s="57"/>
      <c r="F1395" s="57"/>
      <c r="G1395" s="57"/>
      <c r="H1395" s="57"/>
      <c r="I1395" s="57"/>
      <c r="J1395" s="57"/>
      <c r="K1395" s="57"/>
      <c r="L1395" s="57"/>
      <c r="M1395" s="57"/>
      <c r="O1395" s="69"/>
      <c r="P1395" s="57"/>
    </row>
    <row r="1396" spans="1:16" x14ac:dyDescent="0.2">
      <c r="A1396" s="57"/>
      <c r="B1396" s="69"/>
      <c r="C1396" s="57"/>
      <c r="D1396" s="57"/>
      <c r="E1396" s="57"/>
      <c r="F1396" s="57"/>
      <c r="G1396" s="57"/>
      <c r="H1396" s="57"/>
      <c r="I1396" s="57"/>
      <c r="J1396" s="57"/>
      <c r="K1396" s="57"/>
      <c r="L1396" s="57"/>
      <c r="M1396" s="57"/>
      <c r="O1396" s="69"/>
      <c r="P1396" s="57"/>
    </row>
    <row r="1397" spans="1:16" x14ac:dyDescent="0.2">
      <c r="A1397" s="57"/>
      <c r="B1397" s="69"/>
      <c r="C1397" s="57"/>
      <c r="D1397" s="57"/>
      <c r="E1397" s="57"/>
      <c r="F1397" s="57"/>
      <c r="G1397" s="57"/>
      <c r="H1397" s="57"/>
      <c r="I1397" s="57"/>
      <c r="J1397" s="57"/>
      <c r="K1397" s="57"/>
      <c r="L1397" s="57"/>
      <c r="M1397" s="57"/>
      <c r="O1397" s="69"/>
      <c r="P1397" s="57"/>
    </row>
    <row r="1398" spans="1:16" x14ac:dyDescent="0.2">
      <c r="A1398" s="57"/>
      <c r="B1398" s="69"/>
      <c r="C1398" s="57"/>
      <c r="D1398" s="57"/>
      <c r="E1398" s="57"/>
      <c r="F1398" s="57"/>
      <c r="G1398" s="57"/>
      <c r="H1398" s="57"/>
      <c r="I1398" s="57"/>
      <c r="J1398" s="57"/>
      <c r="K1398" s="57"/>
      <c r="L1398" s="57"/>
      <c r="M1398" s="57"/>
      <c r="O1398" s="69"/>
      <c r="P1398" s="57"/>
    </row>
    <row r="1399" spans="1:16" x14ac:dyDescent="0.2">
      <c r="A1399" s="57"/>
      <c r="B1399" s="69"/>
      <c r="C1399" s="57"/>
      <c r="D1399" s="57"/>
      <c r="E1399" s="57"/>
      <c r="F1399" s="57"/>
      <c r="G1399" s="57"/>
      <c r="H1399" s="57"/>
      <c r="I1399" s="57"/>
      <c r="J1399" s="57"/>
      <c r="K1399" s="57"/>
      <c r="L1399" s="57"/>
      <c r="M1399" s="57"/>
      <c r="O1399" s="69"/>
      <c r="P1399" s="57"/>
    </row>
    <row r="1400" spans="1:16" x14ac:dyDescent="0.2">
      <c r="A1400" s="57"/>
      <c r="B1400" s="69"/>
      <c r="C1400" s="57"/>
      <c r="D1400" s="57"/>
      <c r="E1400" s="57"/>
      <c r="F1400" s="57"/>
      <c r="G1400" s="57"/>
      <c r="H1400" s="57"/>
      <c r="I1400" s="57"/>
      <c r="J1400" s="57"/>
      <c r="K1400" s="57"/>
      <c r="L1400" s="57"/>
      <c r="M1400" s="57"/>
      <c r="O1400" s="69"/>
      <c r="P1400" s="57"/>
    </row>
    <row r="1401" spans="1:16" x14ac:dyDescent="0.2">
      <c r="A1401" s="57"/>
      <c r="B1401" s="69"/>
      <c r="C1401" s="57"/>
      <c r="D1401" s="57"/>
      <c r="E1401" s="57"/>
      <c r="F1401" s="57"/>
      <c r="G1401" s="57"/>
      <c r="H1401" s="57"/>
      <c r="I1401" s="57"/>
      <c r="J1401" s="57"/>
      <c r="K1401" s="57"/>
      <c r="L1401" s="57"/>
      <c r="M1401" s="57"/>
      <c r="O1401" s="69"/>
      <c r="P1401" s="57"/>
    </row>
    <row r="1402" spans="1:16" x14ac:dyDescent="0.2">
      <c r="A1402" s="57"/>
      <c r="B1402" s="69"/>
      <c r="C1402" s="57"/>
      <c r="D1402" s="57"/>
      <c r="E1402" s="57"/>
      <c r="F1402" s="57"/>
      <c r="G1402" s="57"/>
      <c r="H1402" s="57"/>
      <c r="I1402" s="57"/>
      <c r="J1402" s="57"/>
      <c r="K1402" s="57"/>
      <c r="L1402" s="57"/>
      <c r="M1402" s="57"/>
      <c r="O1402" s="69"/>
      <c r="P1402" s="57"/>
    </row>
    <row r="1403" spans="1:16" x14ac:dyDescent="0.2">
      <c r="A1403" s="57"/>
      <c r="B1403" s="69"/>
      <c r="C1403" s="57"/>
      <c r="D1403" s="57"/>
      <c r="E1403" s="57"/>
      <c r="F1403" s="57"/>
      <c r="G1403" s="57"/>
      <c r="H1403" s="57"/>
      <c r="I1403" s="57"/>
      <c r="J1403" s="57"/>
      <c r="K1403" s="57"/>
      <c r="L1403" s="57"/>
      <c r="M1403" s="57"/>
      <c r="O1403" s="69"/>
      <c r="P1403" s="57"/>
    </row>
    <row r="1404" spans="1:16" x14ac:dyDescent="0.2">
      <c r="A1404" s="57"/>
      <c r="B1404" s="69"/>
      <c r="C1404" s="57"/>
      <c r="D1404" s="57"/>
      <c r="E1404" s="57"/>
      <c r="F1404" s="57"/>
      <c r="G1404" s="57"/>
      <c r="H1404" s="57"/>
      <c r="I1404" s="57"/>
      <c r="J1404" s="57"/>
      <c r="K1404" s="57"/>
      <c r="L1404" s="57"/>
      <c r="M1404" s="57"/>
      <c r="O1404" s="69"/>
      <c r="P1404" s="57"/>
    </row>
    <row r="1405" spans="1:16" x14ac:dyDescent="0.2">
      <c r="A1405" s="57"/>
      <c r="B1405" s="69"/>
      <c r="C1405" s="57"/>
      <c r="D1405" s="57"/>
      <c r="E1405" s="57"/>
      <c r="F1405" s="57"/>
      <c r="G1405" s="57"/>
      <c r="H1405" s="57"/>
      <c r="I1405" s="57"/>
      <c r="J1405" s="57"/>
      <c r="K1405" s="57"/>
      <c r="L1405" s="57"/>
      <c r="M1405" s="57"/>
      <c r="O1405" s="69"/>
      <c r="P1405" s="57"/>
    </row>
    <row r="1406" spans="1:16" x14ac:dyDescent="0.2">
      <c r="A1406" s="57"/>
      <c r="B1406" s="69"/>
      <c r="C1406" s="57"/>
      <c r="D1406" s="57"/>
      <c r="E1406" s="57"/>
      <c r="F1406" s="57"/>
      <c r="G1406" s="57"/>
      <c r="H1406" s="57"/>
      <c r="I1406" s="57"/>
      <c r="J1406" s="57"/>
      <c r="K1406" s="57"/>
      <c r="L1406" s="57"/>
      <c r="M1406" s="57"/>
      <c r="O1406" s="69"/>
      <c r="P1406" s="57"/>
    </row>
    <row r="1407" spans="1:16" x14ac:dyDescent="0.2">
      <c r="A1407" s="57"/>
      <c r="B1407" s="69"/>
      <c r="C1407" s="57"/>
      <c r="D1407" s="57"/>
      <c r="E1407" s="57"/>
      <c r="F1407" s="57"/>
      <c r="G1407" s="57"/>
      <c r="H1407" s="57"/>
      <c r="I1407" s="57"/>
      <c r="J1407" s="57"/>
      <c r="K1407" s="57"/>
      <c r="L1407" s="57"/>
      <c r="M1407" s="57"/>
      <c r="O1407" s="69"/>
      <c r="P1407" s="57"/>
    </row>
    <row r="1408" spans="1:16" x14ac:dyDescent="0.2">
      <c r="A1408" s="57"/>
      <c r="B1408" s="69"/>
      <c r="C1408" s="57"/>
      <c r="D1408" s="57"/>
      <c r="E1408" s="57"/>
      <c r="F1408" s="57"/>
      <c r="G1408" s="57"/>
      <c r="H1408" s="57"/>
      <c r="I1408" s="57"/>
      <c r="J1408" s="57"/>
      <c r="K1408" s="57"/>
      <c r="L1408" s="57"/>
      <c r="M1408" s="57"/>
      <c r="O1408" s="69"/>
      <c r="P1408" s="57"/>
    </row>
    <row r="1409" spans="1:16" x14ac:dyDescent="0.2">
      <c r="A1409" s="57"/>
      <c r="B1409" s="69"/>
      <c r="C1409" s="57"/>
      <c r="D1409" s="57"/>
      <c r="E1409" s="57"/>
      <c r="F1409" s="57"/>
      <c r="G1409" s="57"/>
      <c r="H1409" s="57"/>
      <c r="I1409" s="57"/>
      <c r="J1409" s="57"/>
      <c r="K1409" s="57"/>
      <c r="L1409" s="57"/>
      <c r="M1409" s="57"/>
      <c r="O1409" s="69"/>
      <c r="P1409" s="57"/>
    </row>
    <row r="1410" spans="1:16" x14ac:dyDescent="0.2">
      <c r="A1410" s="57"/>
      <c r="B1410" s="69"/>
      <c r="C1410" s="57"/>
      <c r="D1410" s="57"/>
      <c r="E1410" s="57"/>
      <c r="F1410" s="57"/>
      <c r="G1410" s="57"/>
      <c r="H1410" s="57"/>
      <c r="I1410" s="57"/>
      <c r="J1410" s="57"/>
      <c r="K1410" s="57"/>
      <c r="L1410" s="57"/>
      <c r="M1410" s="57"/>
      <c r="O1410" s="69"/>
      <c r="P1410" s="57"/>
    </row>
    <row r="1411" spans="1:16" x14ac:dyDescent="0.2">
      <c r="A1411" s="57"/>
      <c r="B1411" s="69"/>
      <c r="C1411" s="57"/>
      <c r="D1411" s="57"/>
      <c r="E1411" s="57"/>
      <c r="F1411" s="57"/>
      <c r="G1411" s="57"/>
      <c r="H1411" s="57"/>
      <c r="I1411" s="57"/>
      <c r="J1411" s="57"/>
      <c r="K1411" s="57"/>
      <c r="L1411" s="57"/>
      <c r="M1411" s="57"/>
      <c r="O1411" s="69"/>
      <c r="P1411" s="57"/>
    </row>
    <row r="1412" spans="1:16" x14ac:dyDescent="0.2">
      <c r="A1412" s="57"/>
      <c r="B1412" s="69"/>
      <c r="C1412" s="57"/>
      <c r="D1412" s="57"/>
      <c r="E1412" s="57"/>
      <c r="F1412" s="57"/>
      <c r="G1412" s="57"/>
      <c r="H1412" s="57"/>
      <c r="I1412" s="57"/>
      <c r="J1412" s="57"/>
      <c r="K1412" s="57"/>
      <c r="L1412" s="57"/>
      <c r="M1412" s="57"/>
      <c r="O1412" s="69"/>
      <c r="P1412" s="57"/>
    </row>
    <row r="1413" spans="1:16" x14ac:dyDescent="0.2">
      <c r="A1413" s="57"/>
      <c r="B1413" s="69"/>
      <c r="C1413" s="57"/>
      <c r="D1413" s="57"/>
      <c r="E1413" s="57"/>
      <c r="F1413" s="57"/>
      <c r="G1413" s="57"/>
      <c r="H1413" s="57"/>
      <c r="I1413" s="57"/>
      <c r="J1413" s="57"/>
      <c r="K1413" s="57"/>
      <c r="L1413" s="57"/>
      <c r="M1413" s="57"/>
      <c r="O1413" s="69"/>
      <c r="P1413" s="57"/>
    </row>
    <row r="1414" spans="1:16" x14ac:dyDescent="0.2">
      <c r="A1414" s="57"/>
      <c r="B1414" s="69"/>
      <c r="C1414" s="57"/>
      <c r="D1414" s="57"/>
      <c r="E1414" s="57"/>
      <c r="F1414" s="57"/>
      <c r="G1414" s="57"/>
      <c r="H1414" s="57"/>
      <c r="I1414" s="57"/>
      <c r="J1414" s="57"/>
      <c r="K1414" s="57"/>
      <c r="L1414" s="57"/>
      <c r="M1414" s="57"/>
      <c r="O1414" s="69"/>
      <c r="P1414" s="57"/>
    </row>
    <row r="1415" spans="1:16" x14ac:dyDescent="0.2">
      <c r="A1415" s="57"/>
      <c r="B1415" s="69"/>
      <c r="C1415" s="57"/>
      <c r="D1415" s="57"/>
      <c r="E1415" s="57"/>
      <c r="F1415" s="57"/>
      <c r="G1415" s="57"/>
      <c r="H1415" s="57"/>
      <c r="I1415" s="57"/>
      <c r="J1415" s="57"/>
      <c r="K1415" s="57"/>
      <c r="L1415" s="57"/>
      <c r="M1415" s="57"/>
      <c r="O1415" s="69"/>
      <c r="P1415" s="57"/>
    </row>
    <row r="1416" spans="1:16" x14ac:dyDescent="0.2">
      <c r="A1416" s="57"/>
      <c r="B1416" s="69"/>
      <c r="C1416" s="57"/>
      <c r="D1416" s="57"/>
      <c r="E1416" s="57"/>
      <c r="F1416" s="57"/>
      <c r="G1416" s="57"/>
      <c r="H1416" s="57"/>
      <c r="I1416" s="57"/>
      <c r="J1416" s="57"/>
      <c r="K1416" s="57"/>
      <c r="L1416" s="57"/>
      <c r="M1416" s="57"/>
      <c r="O1416" s="69"/>
      <c r="P1416" s="57"/>
    </row>
    <row r="1417" spans="1:16" x14ac:dyDescent="0.2">
      <c r="A1417" s="57"/>
      <c r="B1417" s="69"/>
      <c r="C1417" s="57"/>
      <c r="D1417" s="57"/>
      <c r="E1417" s="57"/>
      <c r="F1417" s="57"/>
      <c r="G1417" s="57"/>
      <c r="H1417" s="57"/>
      <c r="I1417" s="57"/>
      <c r="J1417" s="57"/>
      <c r="K1417" s="57"/>
      <c r="L1417" s="57"/>
      <c r="M1417" s="57"/>
      <c r="O1417" s="69"/>
      <c r="P1417" s="57"/>
    </row>
    <row r="1418" spans="1:16" x14ac:dyDescent="0.2">
      <c r="A1418" s="57"/>
      <c r="B1418" s="69"/>
      <c r="C1418" s="57"/>
      <c r="D1418" s="57"/>
      <c r="E1418" s="57"/>
      <c r="F1418" s="57"/>
      <c r="G1418" s="57"/>
      <c r="H1418" s="57"/>
      <c r="I1418" s="57"/>
      <c r="J1418" s="57"/>
      <c r="K1418" s="57"/>
      <c r="L1418" s="57"/>
      <c r="M1418" s="57"/>
      <c r="O1418" s="69"/>
      <c r="P1418" s="57"/>
    </row>
    <row r="1419" spans="1:16" x14ac:dyDescent="0.2">
      <c r="A1419" s="57"/>
      <c r="B1419" s="69"/>
      <c r="C1419" s="57"/>
      <c r="D1419" s="57"/>
      <c r="E1419" s="57"/>
      <c r="F1419" s="57"/>
      <c r="G1419" s="57"/>
      <c r="H1419" s="57"/>
      <c r="I1419" s="57"/>
      <c r="J1419" s="57"/>
      <c r="K1419" s="57"/>
      <c r="L1419" s="57"/>
      <c r="M1419" s="57"/>
      <c r="O1419" s="69"/>
      <c r="P1419" s="57"/>
    </row>
    <row r="1420" spans="1:16" x14ac:dyDescent="0.2">
      <c r="A1420" s="57"/>
      <c r="B1420" s="69"/>
      <c r="C1420" s="57"/>
      <c r="D1420" s="57"/>
      <c r="E1420" s="57"/>
      <c r="F1420" s="57"/>
      <c r="G1420" s="57"/>
      <c r="H1420" s="57"/>
      <c r="I1420" s="57"/>
      <c r="J1420" s="57"/>
      <c r="K1420" s="57"/>
      <c r="L1420" s="57"/>
      <c r="M1420" s="57"/>
      <c r="O1420" s="69"/>
      <c r="P1420" s="57"/>
    </row>
    <row r="1421" spans="1:16" x14ac:dyDescent="0.2">
      <c r="A1421" s="57"/>
      <c r="B1421" s="69"/>
      <c r="C1421" s="57"/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O1421" s="69"/>
      <c r="P1421" s="57"/>
    </row>
    <row r="1422" spans="1:16" x14ac:dyDescent="0.2">
      <c r="A1422" s="57"/>
      <c r="B1422" s="69"/>
      <c r="C1422" s="57"/>
      <c r="D1422" s="57"/>
      <c r="E1422" s="57"/>
      <c r="F1422" s="57"/>
      <c r="G1422" s="57"/>
      <c r="H1422" s="57"/>
      <c r="I1422" s="57"/>
      <c r="J1422" s="57"/>
      <c r="K1422" s="57"/>
      <c r="L1422" s="57"/>
      <c r="M1422" s="57"/>
      <c r="O1422" s="69"/>
      <c r="P1422" s="57"/>
    </row>
    <row r="1423" spans="1:16" x14ac:dyDescent="0.2">
      <c r="A1423" s="57"/>
      <c r="B1423" s="69"/>
      <c r="C1423" s="57"/>
      <c r="D1423" s="57"/>
      <c r="E1423" s="57"/>
      <c r="F1423" s="57"/>
      <c r="G1423" s="57"/>
      <c r="H1423" s="57"/>
      <c r="I1423" s="57"/>
      <c r="J1423" s="57"/>
      <c r="K1423" s="57"/>
      <c r="L1423" s="57"/>
      <c r="M1423" s="57"/>
      <c r="O1423" s="69"/>
      <c r="P1423" s="57"/>
    </row>
    <row r="1424" spans="1:16" x14ac:dyDescent="0.2">
      <c r="A1424" s="57"/>
      <c r="B1424" s="69"/>
      <c r="C1424" s="57"/>
      <c r="D1424" s="57"/>
      <c r="E1424" s="57"/>
      <c r="F1424" s="57"/>
      <c r="G1424" s="57"/>
      <c r="H1424" s="57"/>
      <c r="I1424" s="57"/>
      <c r="J1424" s="57"/>
      <c r="K1424" s="57"/>
      <c r="L1424" s="57"/>
      <c r="M1424" s="57"/>
      <c r="O1424" s="69"/>
      <c r="P1424" s="57"/>
    </row>
    <row r="1425" spans="1:16" x14ac:dyDescent="0.2">
      <c r="A1425" s="57"/>
      <c r="B1425" s="69"/>
      <c r="C1425" s="57"/>
      <c r="D1425" s="57"/>
      <c r="E1425" s="57"/>
      <c r="F1425" s="57"/>
      <c r="G1425" s="57"/>
      <c r="H1425" s="57"/>
      <c r="I1425" s="57"/>
      <c r="J1425" s="57"/>
      <c r="K1425" s="57"/>
      <c r="L1425" s="57"/>
      <c r="M1425" s="57"/>
      <c r="O1425" s="69"/>
      <c r="P1425" s="57"/>
    </row>
    <row r="1426" spans="1:16" x14ac:dyDescent="0.2">
      <c r="A1426" s="57"/>
      <c r="B1426" s="69"/>
      <c r="C1426" s="57"/>
      <c r="D1426" s="57"/>
      <c r="E1426" s="57"/>
      <c r="F1426" s="57"/>
      <c r="G1426" s="57"/>
      <c r="H1426" s="57"/>
      <c r="I1426" s="57"/>
      <c r="J1426" s="57"/>
      <c r="K1426" s="57"/>
      <c r="L1426" s="57"/>
      <c r="M1426" s="57"/>
      <c r="O1426" s="69"/>
      <c r="P1426" s="57"/>
    </row>
    <row r="1427" spans="1:16" x14ac:dyDescent="0.2">
      <c r="A1427" s="57"/>
      <c r="B1427" s="69"/>
      <c r="C1427" s="57"/>
      <c r="D1427" s="57"/>
      <c r="E1427" s="57"/>
      <c r="F1427" s="57"/>
      <c r="G1427" s="57"/>
      <c r="H1427" s="57"/>
      <c r="I1427" s="57"/>
      <c r="J1427" s="57"/>
      <c r="K1427" s="57"/>
      <c r="L1427" s="57"/>
      <c r="M1427" s="57"/>
      <c r="O1427" s="69"/>
      <c r="P1427" s="57"/>
    </row>
    <row r="1428" spans="1:16" x14ac:dyDescent="0.2">
      <c r="A1428" s="57"/>
      <c r="B1428" s="69"/>
      <c r="C1428" s="57"/>
      <c r="D1428" s="57"/>
      <c r="E1428" s="57"/>
      <c r="F1428" s="57"/>
      <c r="G1428" s="57"/>
      <c r="H1428" s="57"/>
      <c r="I1428" s="57"/>
      <c r="J1428" s="57"/>
      <c r="K1428" s="57"/>
      <c r="L1428" s="57"/>
      <c r="M1428" s="57"/>
      <c r="O1428" s="69"/>
      <c r="P1428" s="57"/>
    </row>
    <row r="1429" spans="1:16" x14ac:dyDescent="0.2">
      <c r="A1429" s="57"/>
      <c r="B1429" s="69"/>
      <c r="C1429" s="57"/>
      <c r="D1429" s="57"/>
      <c r="E1429" s="57"/>
      <c r="F1429" s="57"/>
      <c r="G1429" s="57"/>
      <c r="H1429" s="57"/>
      <c r="I1429" s="57"/>
      <c r="J1429" s="57"/>
      <c r="K1429" s="57"/>
      <c r="L1429" s="57"/>
      <c r="M1429" s="57"/>
      <c r="O1429" s="69"/>
      <c r="P1429" s="57"/>
    </row>
    <row r="1430" spans="1:16" x14ac:dyDescent="0.2">
      <c r="A1430" s="57"/>
      <c r="B1430" s="69"/>
      <c r="C1430" s="57"/>
      <c r="D1430" s="57"/>
      <c r="E1430" s="57"/>
      <c r="F1430" s="57"/>
      <c r="G1430" s="57"/>
      <c r="H1430" s="57"/>
      <c r="I1430" s="57"/>
      <c r="J1430" s="57"/>
      <c r="K1430" s="57"/>
      <c r="L1430" s="57"/>
      <c r="M1430" s="57"/>
      <c r="O1430" s="69"/>
      <c r="P1430" s="57"/>
    </row>
    <row r="1431" spans="1:16" x14ac:dyDescent="0.2">
      <c r="A1431" s="57"/>
      <c r="B1431" s="69"/>
      <c r="C1431" s="57"/>
      <c r="D1431" s="57"/>
      <c r="E1431" s="57"/>
      <c r="F1431" s="57"/>
      <c r="G1431" s="57"/>
      <c r="H1431" s="57"/>
      <c r="I1431" s="57"/>
      <c r="J1431" s="57"/>
      <c r="K1431" s="57"/>
      <c r="L1431" s="57"/>
      <c r="M1431" s="57"/>
      <c r="O1431" s="69"/>
      <c r="P1431" s="57"/>
    </row>
    <row r="1432" spans="1:16" x14ac:dyDescent="0.2">
      <c r="A1432" s="57"/>
      <c r="B1432" s="69"/>
      <c r="C1432" s="57"/>
      <c r="D1432" s="57"/>
      <c r="E1432" s="57"/>
      <c r="F1432" s="57"/>
      <c r="G1432" s="57"/>
      <c r="H1432" s="57"/>
      <c r="I1432" s="57"/>
      <c r="J1432" s="57"/>
      <c r="K1432" s="57"/>
      <c r="L1432" s="57"/>
      <c r="M1432" s="57"/>
      <c r="O1432" s="69"/>
      <c r="P1432" s="57"/>
    </row>
    <row r="1433" spans="1:16" x14ac:dyDescent="0.2">
      <c r="A1433" s="57"/>
      <c r="B1433" s="69"/>
      <c r="C1433" s="57"/>
      <c r="D1433" s="57"/>
      <c r="E1433" s="57"/>
      <c r="F1433" s="57"/>
      <c r="G1433" s="57"/>
      <c r="H1433" s="57"/>
      <c r="I1433" s="57"/>
      <c r="J1433" s="57"/>
      <c r="K1433" s="57"/>
      <c r="L1433" s="57"/>
      <c r="M1433" s="57"/>
      <c r="O1433" s="69"/>
      <c r="P1433" s="57"/>
    </row>
    <row r="1434" spans="1:16" x14ac:dyDescent="0.2">
      <c r="A1434" s="57"/>
      <c r="B1434" s="69"/>
      <c r="C1434" s="57"/>
      <c r="D1434" s="57"/>
      <c r="E1434" s="57"/>
      <c r="F1434" s="57"/>
      <c r="G1434" s="57"/>
      <c r="H1434" s="57"/>
      <c r="I1434" s="57"/>
      <c r="J1434" s="57"/>
      <c r="K1434" s="57"/>
      <c r="L1434" s="57"/>
      <c r="M1434" s="57"/>
      <c r="O1434" s="69"/>
      <c r="P1434" s="57"/>
    </row>
    <row r="1435" spans="1:16" x14ac:dyDescent="0.2">
      <c r="A1435" s="57"/>
      <c r="B1435" s="69"/>
      <c r="C1435" s="57"/>
      <c r="D1435" s="57"/>
      <c r="E1435" s="57"/>
      <c r="F1435" s="57"/>
      <c r="G1435" s="57"/>
      <c r="H1435" s="57"/>
      <c r="I1435" s="57"/>
      <c r="J1435" s="57"/>
      <c r="K1435" s="57"/>
      <c r="L1435" s="57"/>
      <c r="M1435" s="57"/>
      <c r="O1435" s="69"/>
      <c r="P1435" s="57"/>
    </row>
    <row r="1436" spans="1:16" x14ac:dyDescent="0.2">
      <c r="A1436" s="57"/>
      <c r="B1436" s="69"/>
      <c r="C1436" s="57"/>
      <c r="D1436" s="57"/>
      <c r="E1436" s="57"/>
      <c r="F1436" s="57"/>
      <c r="G1436" s="57"/>
      <c r="H1436" s="57"/>
      <c r="I1436" s="57"/>
      <c r="J1436" s="57"/>
      <c r="K1436" s="57"/>
      <c r="L1436" s="57"/>
      <c r="M1436" s="57"/>
      <c r="O1436" s="69"/>
      <c r="P1436" s="57"/>
    </row>
    <row r="1437" spans="1:16" x14ac:dyDescent="0.2">
      <c r="A1437" s="57"/>
      <c r="B1437" s="69"/>
      <c r="C1437" s="57"/>
      <c r="D1437" s="57"/>
      <c r="E1437" s="57"/>
      <c r="F1437" s="57"/>
      <c r="G1437" s="57"/>
      <c r="H1437" s="57"/>
      <c r="I1437" s="57"/>
      <c r="J1437" s="57"/>
      <c r="K1437" s="57"/>
      <c r="L1437" s="57"/>
      <c r="M1437" s="57"/>
      <c r="O1437" s="69"/>
      <c r="P1437" s="57"/>
    </row>
    <row r="1438" spans="1:16" x14ac:dyDescent="0.2">
      <c r="A1438" s="57"/>
      <c r="B1438" s="69"/>
      <c r="C1438" s="57"/>
      <c r="D1438" s="57"/>
      <c r="E1438" s="57"/>
      <c r="F1438" s="57"/>
      <c r="G1438" s="57"/>
      <c r="H1438" s="57"/>
      <c r="I1438" s="57"/>
      <c r="J1438" s="57"/>
      <c r="K1438" s="57"/>
      <c r="L1438" s="57"/>
      <c r="M1438" s="57"/>
      <c r="O1438" s="69"/>
      <c r="P1438" s="57"/>
    </row>
    <row r="1439" spans="1:16" x14ac:dyDescent="0.2">
      <c r="A1439" s="57"/>
      <c r="B1439" s="69"/>
      <c r="C1439" s="57"/>
      <c r="D1439" s="57"/>
      <c r="E1439" s="57"/>
      <c r="F1439" s="57"/>
      <c r="G1439" s="57"/>
      <c r="H1439" s="57"/>
      <c r="I1439" s="57"/>
      <c r="J1439" s="57"/>
      <c r="K1439" s="57"/>
      <c r="L1439" s="57"/>
      <c r="M1439" s="57"/>
      <c r="O1439" s="69"/>
      <c r="P1439" s="57"/>
    </row>
    <row r="1440" spans="1:16" x14ac:dyDescent="0.2">
      <c r="A1440" s="57"/>
      <c r="B1440" s="69"/>
      <c r="C1440" s="57"/>
      <c r="D1440" s="57"/>
      <c r="E1440" s="57"/>
      <c r="F1440" s="57"/>
      <c r="G1440" s="57"/>
      <c r="H1440" s="57"/>
      <c r="I1440" s="57"/>
      <c r="J1440" s="57"/>
      <c r="K1440" s="57"/>
      <c r="L1440" s="57"/>
      <c r="M1440" s="57"/>
      <c r="O1440" s="69"/>
      <c r="P1440" s="57"/>
    </row>
    <row r="1441" spans="1:16" x14ac:dyDescent="0.2">
      <c r="A1441" s="57"/>
      <c r="B1441" s="69"/>
      <c r="C1441" s="57"/>
      <c r="D1441" s="57"/>
      <c r="E1441" s="57"/>
      <c r="F1441" s="57"/>
      <c r="G1441" s="57"/>
      <c r="H1441" s="57"/>
      <c r="I1441" s="57"/>
      <c r="J1441" s="57"/>
      <c r="K1441" s="57"/>
      <c r="L1441" s="57"/>
      <c r="M1441" s="57"/>
      <c r="O1441" s="69"/>
      <c r="P1441" s="57"/>
    </row>
    <row r="1442" spans="1:16" x14ac:dyDescent="0.2">
      <c r="A1442" s="57"/>
      <c r="B1442" s="69"/>
      <c r="C1442" s="57"/>
      <c r="D1442" s="57"/>
      <c r="E1442" s="57"/>
      <c r="F1442" s="57"/>
      <c r="G1442" s="57"/>
      <c r="H1442" s="57"/>
      <c r="I1442" s="57"/>
      <c r="J1442" s="57"/>
      <c r="K1442" s="57"/>
      <c r="L1442" s="57"/>
      <c r="M1442" s="57"/>
      <c r="O1442" s="69"/>
      <c r="P1442" s="57"/>
    </row>
    <row r="1443" spans="1:16" x14ac:dyDescent="0.2">
      <c r="A1443" s="57"/>
      <c r="B1443" s="69"/>
      <c r="C1443" s="57"/>
      <c r="D1443" s="57"/>
      <c r="E1443" s="57"/>
      <c r="F1443" s="57"/>
      <c r="G1443" s="57"/>
      <c r="H1443" s="57"/>
      <c r="I1443" s="57"/>
      <c r="J1443" s="57"/>
      <c r="K1443" s="57"/>
      <c r="L1443" s="57"/>
      <c r="M1443" s="57"/>
      <c r="O1443" s="69"/>
      <c r="P1443" s="57"/>
    </row>
    <row r="1444" spans="1:16" x14ac:dyDescent="0.2">
      <c r="A1444" s="57"/>
      <c r="B1444" s="69"/>
      <c r="C1444" s="57"/>
      <c r="D1444" s="57"/>
      <c r="E1444" s="57"/>
      <c r="F1444" s="57"/>
      <c r="G1444" s="57"/>
      <c r="H1444" s="57"/>
      <c r="I1444" s="57"/>
      <c r="J1444" s="57"/>
      <c r="K1444" s="57"/>
      <c r="L1444" s="57"/>
      <c r="M1444" s="57"/>
      <c r="O1444" s="69"/>
      <c r="P1444" s="57"/>
    </row>
    <row r="1445" spans="1:16" x14ac:dyDescent="0.2">
      <c r="A1445" s="57"/>
      <c r="B1445" s="69"/>
      <c r="C1445" s="57"/>
      <c r="D1445" s="57"/>
      <c r="E1445" s="57"/>
      <c r="F1445" s="57"/>
      <c r="G1445" s="57"/>
      <c r="H1445" s="57"/>
      <c r="I1445" s="57"/>
      <c r="J1445" s="57"/>
      <c r="K1445" s="57"/>
      <c r="L1445" s="57"/>
      <c r="M1445" s="57"/>
      <c r="O1445" s="69"/>
      <c r="P1445" s="57"/>
    </row>
    <row r="1446" spans="1:16" x14ac:dyDescent="0.2">
      <c r="A1446" s="57"/>
      <c r="B1446" s="69"/>
      <c r="C1446" s="57"/>
      <c r="D1446" s="57"/>
      <c r="E1446" s="57"/>
      <c r="F1446" s="57"/>
      <c r="G1446" s="57"/>
      <c r="H1446" s="57"/>
      <c r="I1446" s="57"/>
      <c r="J1446" s="57"/>
      <c r="K1446" s="57"/>
      <c r="L1446" s="57"/>
      <c r="M1446" s="57"/>
      <c r="O1446" s="69"/>
      <c r="P1446" s="57"/>
    </row>
    <row r="1447" spans="1:16" x14ac:dyDescent="0.2">
      <c r="A1447" s="57"/>
      <c r="B1447" s="69"/>
      <c r="C1447" s="57"/>
      <c r="D1447" s="57"/>
      <c r="E1447" s="57"/>
      <c r="F1447" s="57"/>
      <c r="G1447" s="57"/>
      <c r="H1447" s="57"/>
      <c r="I1447" s="57"/>
      <c r="J1447" s="57"/>
      <c r="K1447" s="57"/>
      <c r="L1447" s="57"/>
      <c r="M1447" s="57"/>
      <c r="O1447" s="69"/>
      <c r="P1447" s="57"/>
    </row>
    <row r="1448" spans="1:16" x14ac:dyDescent="0.2">
      <c r="A1448" s="57"/>
      <c r="B1448" s="69"/>
      <c r="C1448" s="57"/>
      <c r="D1448" s="57"/>
      <c r="E1448" s="57"/>
      <c r="F1448" s="57"/>
      <c r="G1448" s="57"/>
      <c r="H1448" s="57"/>
      <c r="I1448" s="57"/>
      <c r="J1448" s="57"/>
      <c r="K1448" s="57"/>
      <c r="L1448" s="57"/>
      <c r="M1448" s="57"/>
      <c r="O1448" s="69"/>
      <c r="P1448" s="57"/>
    </row>
    <row r="1449" spans="1:16" x14ac:dyDescent="0.2">
      <c r="A1449" s="57"/>
      <c r="B1449" s="69"/>
      <c r="C1449" s="57"/>
      <c r="D1449" s="57"/>
      <c r="E1449" s="57"/>
      <c r="F1449" s="57"/>
      <c r="G1449" s="57"/>
      <c r="H1449" s="57"/>
      <c r="I1449" s="57"/>
      <c r="J1449" s="57"/>
      <c r="K1449" s="57"/>
      <c r="L1449" s="57"/>
      <c r="M1449" s="57"/>
      <c r="O1449" s="69"/>
      <c r="P1449" s="57"/>
    </row>
    <row r="1450" spans="1:16" x14ac:dyDescent="0.2">
      <c r="A1450" s="57"/>
      <c r="B1450" s="69"/>
      <c r="C1450" s="57"/>
      <c r="D1450" s="57"/>
      <c r="E1450" s="57"/>
      <c r="F1450" s="57"/>
      <c r="G1450" s="57"/>
      <c r="H1450" s="57"/>
      <c r="I1450" s="57"/>
      <c r="J1450" s="57"/>
      <c r="K1450" s="57"/>
      <c r="L1450" s="57"/>
      <c r="M1450" s="57"/>
      <c r="O1450" s="69"/>
      <c r="P1450" s="57"/>
    </row>
    <row r="1451" spans="1:16" x14ac:dyDescent="0.2">
      <c r="A1451" s="57"/>
      <c r="B1451" s="69"/>
      <c r="C1451" s="57"/>
      <c r="D1451" s="57"/>
      <c r="E1451" s="57"/>
      <c r="F1451" s="57"/>
      <c r="G1451" s="57"/>
      <c r="H1451" s="57"/>
      <c r="I1451" s="57"/>
      <c r="J1451" s="57"/>
      <c r="K1451" s="57"/>
      <c r="L1451" s="57"/>
      <c r="M1451" s="57"/>
      <c r="O1451" s="69"/>
      <c r="P1451" s="57"/>
    </row>
    <row r="1452" spans="1:16" x14ac:dyDescent="0.2">
      <c r="A1452" s="57"/>
      <c r="B1452" s="69"/>
      <c r="C1452" s="57"/>
      <c r="D1452" s="57"/>
      <c r="E1452" s="57"/>
      <c r="F1452" s="57"/>
      <c r="G1452" s="57"/>
      <c r="H1452" s="57"/>
      <c r="I1452" s="57"/>
      <c r="J1452" s="57"/>
      <c r="K1452" s="57"/>
      <c r="L1452" s="57"/>
      <c r="M1452" s="57"/>
      <c r="O1452" s="69"/>
      <c r="P1452" s="57"/>
    </row>
    <row r="1453" spans="1:16" x14ac:dyDescent="0.2">
      <c r="A1453" s="57"/>
      <c r="B1453" s="69"/>
      <c r="C1453" s="57"/>
      <c r="D1453" s="57"/>
      <c r="E1453" s="57"/>
      <c r="F1453" s="57"/>
      <c r="G1453" s="57"/>
      <c r="H1453" s="57"/>
      <c r="I1453" s="57"/>
      <c r="J1453" s="57"/>
      <c r="K1453" s="57"/>
      <c r="L1453" s="57"/>
      <c r="M1453" s="57"/>
      <c r="O1453" s="69"/>
      <c r="P1453" s="57"/>
    </row>
    <row r="1454" spans="1:16" x14ac:dyDescent="0.2">
      <c r="A1454" s="57"/>
      <c r="B1454" s="69"/>
      <c r="C1454" s="57"/>
      <c r="D1454" s="57"/>
      <c r="E1454" s="57"/>
      <c r="F1454" s="57"/>
      <c r="G1454" s="57"/>
      <c r="H1454" s="57"/>
      <c r="I1454" s="57"/>
      <c r="J1454" s="57"/>
      <c r="K1454" s="57"/>
      <c r="L1454" s="57"/>
      <c r="M1454" s="57"/>
      <c r="O1454" s="69"/>
      <c r="P1454" s="57"/>
    </row>
    <row r="1455" spans="1:16" x14ac:dyDescent="0.2">
      <c r="A1455" s="57"/>
      <c r="B1455" s="69"/>
      <c r="C1455" s="57"/>
      <c r="D1455" s="57"/>
      <c r="E1455" s="57"/>
      <c r="F1455" s="57"/>
      <c r="G1455" s="57"/>
      <c r="H1455" s="57"/>
      <c r="I1455" s="57"/>
      <c r="J1455" s="57"/>
      <c r="K1455" s="57"/>
      <c r="L1455" s="57"/>
      <c r="M1455" s="57"/>
      <c r="O1455" s="69"/>
      <c r="P1455" s="57"/>
    </row>
    <row r="1456" spans="1:16" x14ac:dyDescent="0.2">
      <c r="A1456" s="57"/>
      <c r="B1456" s="69"/>
      <c r="C1456" s="57"/>
      <c r="D1456" s="57"/>
      <c r="E1456" s="57"/>
      <c r="F1456" s="57"/>
      <c r="G1456" s="57"/>
      <c r="H1456" s="57"/>
      <c r="I1456" s="57"/>
      <c r="J1456" s="57"/>
      <c r="K1456" s="57"/>
      <c r="L1456" s="57"/>
      <c r="M1456" s="57"/>
      <c r="O1456" s="69"/>
      <c r="P1456" s="57"/>
    </row>
    <row r="1457" spans="1:16" x14ac:dyDescent="0.2">
      <c r="A1457" s="57"/>
      <c r="B1457" s="69"/>
      <c r="C1457" s="57"/>
      <c r="D1457" s="57"/>
      <c r="E1457" s="57"/>
      <c r="F1457" s="57"/>
      <c r="G1457" s="57"/>
      <c r="H1457" s="57"/>
      <c r="I1457" s="57"/>
      <c r="J1457" s="57"/>
      <c r="K1457" s="57"/>
      <c r="L1457" s="57"/>
      <c r="M1457" s="57"/>
      <c r="O1457" s="69"/>
      <c r="P1457" s="57"/>
    </row>
    <row r="1458" spans="1:16" x14ac:dyDescent="0.2">
      <c r="A1458" s="57"/>
      <c r="B1458" s="69"/>
      <c r="C1458" s="57"/>
      <c r="D1458" s="57"/>
      <c r="E1458" s="57"/>
      <c r="F1458" s="57"/>
      <c r="G1458" s="57"/>
      <c r="H1458" s="57"/>
      <c r="I1458" s="57"/>
      <c r="J1458" s="57"/>
      <c r="K1458" s="57"/>
      <c r="L1458" s="57"/>
      <c r="M1458" s="57"/>
      <c r="O1458" s="69"/>
      <c r="P1458" s="57"/>
    </row>
    <row r="1459" spans="1:16" x14ac:dyDescent="0.2">
      <c r="A1459" s="57"/>
      <c r="B1459" s="69"/>
      <c r="C1459" s="57"/>
      <c r="D1459" s="57"/>
      <c r="E1459" s="57"/>
      <c r="F1459" s="57"/>
      <c r="G1459" s="57"/>
      <c r="H1459" s="57"/>
      <c r="I1459" s="57"/>
      <c r="J1459" s="57"/>
      <c r="K1459" s="57"/>
      <c r="L1459" s="57"/>
      <c r="M1459" s="57"/>
      <c r="O1459" s="69"/>
      <c r="P1459" s="57"/>
    </row>
    <row r="1460" spans="1:16" x14ac:dyDescent="0.2">
      <c r="A1460" s="57"/>
      <c r="B1460" s="69"/>
      <c r="C1460" s="57"/>
      <c r="D1460" s="57"/>
      <c r="E1460" s="57"/>
      <c r="F1460" s="57"/>
      <c r="G1460" s="57"/>
      <c r="H1460" s="57"/>
      <c r="I1460" s="57"/>
      <c r="J1460" s="57"/>
      <c r="K1460" s="57"/>
      <c r="L1460" s="57"/>
      <c r="M1460" s="57"/>
      <c r="O1460" s="69"/>
      <c r="P1460" s="57"/>
    </row>
    <row r="1461" spans="1:16" x14ac:dyDescent="0.2">
      <c r="A1461" s="57"/>
      <c r="B1461" s="69"/>
      <c r="C1461" s="57"/>
      <c r="D1461" s="57"/>
      <c r="E1461" s="57"/>
      <c r="F1461" s="57"/>
      <c r="G1461" s="57"/>
      <c r="H1461" s="57"/>
      <c r="I1461" s="57"/>
      <c r="J1461" s="57"/>
      <c r="K1461" s="57"/>
      <c r="L1461" s="57"/>
      <c r="M1461" s="57"/>
      <c r="O1461" s="69"/>
      <c r="P1461" s="57"/>
    </row>
    <row r="1462" spans="1:16" x14ac:dyDescent="0.2">
      <c r="A1462" s="57"/>
      <c r="B1462" s="69"/>
      <c r="C1462" s="57"/>
      <c r="D1462" s="57"/>
      <c r="E1462" s="57"/>
      <c r="F1462" s="57"/>
      <c r="G1462" s="57"/>
      <c r="H1462" s="57"/>
      <c r="I1462" s="57"/>
      <c r="J1462" s="57"/>
      <c r="K1462" s="57"/>
      <c r="L1462" s="57"/>
      <c r="M1462" s="57"/>
      <c r="O1462" s="69"/>
      <c r="P1462" s="57"/>
    </row>
    <row r="1463" spans="1:16" x14ac:dyDescent="0.2">
      <c r="A1463" s="57"/>
      <c r="B1463" s="69"/>
      <c r="C1463" s="57"/>
      <c r="D1463" s="57"/>
      <c r="E1463" s="57"/>
      <c r="F1463" s="57"/>
      <c r="G1463" s="57"/>
      <c r="H1463" s="57"/>
      <c r="I1463" s="57"/>
      <c r="J1463" s="57"/>
      <c r="K1463" s="57"/>
      <c r="L1463" s="57"/>
      <c r="M1463" s="57"/>
      <c r="O1463" s="69"/>
      <c r="P1463" s="57"/>
    </row>
    <row r="1464" spans="1:16" x14ac:dyDescent="0.2">
      <c r="A1464" s="57"/>
      <c r="B1464" s="69"/>
      <c r="C1464" s="57"/>
      <c r="D1464" s="57"/>
      <c r="E1464" s="57"/>
      <c r="F1464" s="57"/>
      <c r="G1464" s="57"/>
      <c r="H1464" s="57"/>
      <c r="I1464" s="57"/>
      <c r="J1464" s="57"/>
      <c r="K1464" s="57"/>
      <c r="L1464" s="57"/>
      <c r="M1464" s="57"/>
      <c r="O1464" s="69"/>
      <c r="P1464" s="57"/>
    </row>
    <row r="1465" spans="1:16" x14ac:dyDescent="0.2">
      <c r="A1465" s="57"/>
      <c r="B1465" s="69"/>
      <c r="C1465" s="57"/>
      <c r="D1465" s="57"/>
      <c r="E1465" s="57"/>
      <c r="F1465" s="57"/>
      <c r="G1465" s="57"/>
      <c r="H1465" s="57"/>
      <c r="I1465" s="57"/>
      <c r="J1465" s="57"/>
      <c r="K1465" s="57"/>
      <c r="L1465" s="57"/>
      <c r="M1465" s="57"/>
      <c r="O1465" s="69"/>
      <c r="P1465" s="57"/>
    </row>
    <row r="1466" spans="1:16" x14ac:dyDescent="0.2">
      <c r="A1466" s="57"/>
      <c r="B1466" s="69"/>
      <c r="C1466" s="57"/>
      <c r="D1466" s="57"/>
      <c r="E1466" s="57"/>
      <c r="F1466" s="57"/>
      <c r="G1466" s="57"/>
      <c r="H1466" s="57"/>
      <c r="I1466" s="57"/>
      <c r="J1466" s="57"/>
      <c r="K1466" s="57"/>
      <c r="L1466" s="57"/>
      <c r="M1466" s="57"/>
      <c r="O1466" s="69"/>
      <c r="P1466" s="57"/>
    </row>
    <row r="1467" spans="1:16" x14ac:dyDescent="0.2">
      <c r="A1467" s="57"/>
      <c r="B1467" s="69"/>
      <c r="C1467" s="57"/>
      <c r="D1467" s="57"/>
      <c r="E1467" s="57"/>
      <c r="F1467" s="57"/>
      <c r="G1467" s="57"/>
      <c r="H1467" s="57"/>
      <c r="I1467" s="57"/>
      <c r="J1467" s="57"/>
      <c r="K1467" s="57"/>
      <c r="L1467" s="57"/>
      <c r="M1467" s="57"/>
      <c r="O1467" s="69"/>
      <c r="P1467" s="57"/>
    </row>
    <row r="1468" spans="1:16" x14ac:dyDescent="0.2">
      <c r="A1468" s="57"/>
      <c r="B1468" s="69"/>
      <c r="C1468" s="57"/>
      <c r="D1468" s="57"/>
      <c r="E1468" s="57"/>
      <c r="F1468" s="57"/>
      <c r="G1468" s="57"/>
      <c r="H1468" s="57"/>
      <c r="I1468" s="57"/>
      <c r="J1468" s="57"/>
      <c r="K1468" s="57"/>
      <c r="L1468" s="57"/>
      <c r="M1468" s="57"/>
      <c r="O1468" s="69"/>
      <c r="P1468" s="57"/>
    </row>
    <row r="1469" spans="1:16" x14ac:dyDescent="0.2">
      <c r="A1469" s="57"/>
      <c r="B1469" s="69"/>
      <c r="C1469" s="57"/>
      <c r="D1469" s="57"/>
      <c r="E1469" s="57"/>
      <c r="F1469" s="57"/>
      <c r="G1469" s="57"/>
      <c r="H1469" s="57"/>
      <c r="I1469" s="57"/>
      <c r="J1469" s="57"/>
      <c r="K1469" s="57"/>
      <c r="L1469" s="57"/>
      <c r="M1469" s="57"/>
      <c r="O1469" s="69"/>
      <c r="P1469" s="57"/>
    </row>
    <row r="1470" spans="1:16" x14ac:dyDescent="0.2">
      <c r="A1470" s="57"/>
      <c r="B1470" s="69"/>
      <c r="C1470" s="57"/>
      <c r="D1470" s="57"/>
      <c r="E1470" s="57"/>
      <c r="F1470" s="57"/>
      <c r="G1470" s="57"/>
      <c r="H1470" s="57"/>
      <c r="I1470" s="57"/>
      <c r="J1470" s="57"/>
      <c r="K1470" s="57"/>
      <c r="L1470" s="57"/>
      <c r="M1470" s="57"/>
      <c r="O1470" s="69"/>
      <c r="P1470" s="57"/>
    </row>
    <row r="1471" spans="1:16" x14ac:dyDescent="0.2">
      <c r="A1471" s="57"/>
      <c r="B1471" s="69"/>
      <c r="C1471" s="57"/>
      <c r="D1471" s="57"/>
      <c r="E1471" s="57"/>
      <c r="F1471" s="57"/>
      <c r="G1471" s="57"/>
      <c r="H1471" s="57"/>
      <c r="I1471" s="57"/>
      <c r="J1471" s="57"/>
      <c r="K1471" s="57"/>
      <c r="L1471" s="57"/>
      <c r="M1471" s="57"/>
      <c r="O1471" s="69"/>
      <c r="P1471" s="57"/>
    </row>
    <row r="1472" spans="1:16" x14ac:dyDescent="0.2">
      <c r="A1472" s="57"/>
      <c r="B1472" s="69"/>
      <c r="C1472" s="57"/>
      <c r="D1472" s="57"/>
      <c r="E1472" s="57"/>
      <c r="F1472" s="57"/>
      <c r="G1472" s="57"/>
      <c r="H1472" s="57"/>
      <c r="I1472" s="57"/>
      <c r="J1472" s="57"/>
      <c r="K1472" s="57"/>
      <c r="L1472" s="57"/>
      <c r="M1472" s="57"/>
      <c r="O1472" s="69"/>
      <c r="P1472" s="57"/>
    </row>
    <row r="1473" spans="1:16" x14ac:dyDescent="0.2">
      <c r="A1473" s="57"/>
      <c r="B1473" s="69"/>
      <c r="C1473" s="57"/>
      <c r="D1473" s="57"/>
      <c r="E1473" s="57"/>
      <c r="F1473" s="57"/>
      <c r="G1473" s="57"/>
      <c r="H1473" s="57"/>
      <c r="I1473" s="57"/>
      <c r="J1473" s="57"/>
      <c r="K1473" s="57"/>
      <c r="L1473" s="57"/>
      <c r="M1473" s="57"/>
      <c r="O1473" s="69"/>
      <c r="P1473" s="57"/>
    </row>
    <row r="1474" spans="1:16" x14ac:dyDescent="0.2">
      <c r="A1474" s="57"/>
      <c r="B1474" s="69"/>
      <c r="C1474" s="57"/>
      <c r="D1474" s="57"/>
      <c r="E1474" s="57"/>
      <c r="F1474" s="57"/>
      <c r="G1474" s="57"/>
      <c r="H1474" s="57"/>
      <c r="I1474" s="57"/>
      <c r="J1474" s="57"/>
      <c r="K1474" s="57"/>
      <c r="L1474" s="57"/>
      <c r="M1474" s="57"/>
      <c r="O1474" s="69"/>
      <c r="P1474" s="57"/>
    </row>
    <row r="1475" spans="1:16" x14ac:dyDescent="0.2">
      <c r="A1475" s="57"/>
      <c r="B1475" s="69"/>
      <c r="C1475" s="57"/>
      <c r="D1475" s="57"/>
      <c r="E1475" s="57"/>
      <c r="F1475" s="57"/>
      <c r="G1475" s="57"/>
      <c r="H1475" s="57"/>
      <c r="I1475" s="57"/>
      <c r="J1475" s="57"/>
      <c r="K1475" s="57"/>
      <c r="L1475" s="57"/>
      <c r="M1475" s="57"/>
      <c r="O1475" s="69"/>
      <c r="P1475" s="57"/>
    </row>
    <row r="1476" spans="1:16" x14ac:dyDescent="0.2">
      <c r="A1476" s="57"/>
      <c r="B1476" s="69"/>
      <c r="C1476" s="57"/>
      <c r="D1476" s="57"/>
      <c r="E1476" s="57"/>
      <c r="F1476" s="57"/>
      <c r="G1476" s="57"/>
      <c r="H1476" s="57"/>
      <c r="I1476" s="57"/>
      <c r="J1476" s="57"/>
      <c r="K1476" s="57"/>
      <c r="L1476" s="57"/>
      <c r="M1476" s="57"/>
      <c r="O1476" s="69"/>
      <c r="P1476" s="57"/>
    </row>
    <row r="1477" spans="1:16" x14ac:dyDescent="0.2">
      <c r="A1477" s="57"/>
      <c r="B1477" s="69"/>
      <c r="C1477" s="57"/>
      <c r="D1477" s="57"/>
      <c r="E1477" s="57"/>
      <c r="F1477" s="57"/>
      <c r="G1477" s="57"/>
      <c r="H1477" s="57"/>
      <c r="I1477" s="57"/>
      <c r="J1477" s="57"/>
      <c r="K1477" s="57"/>
      <c r="L1477" s="57"/>
      <c r="M1477" s="57"/>
      <c r="O1477" s="69"/>
      <c r="P1477" s="57"/>
    </row>
    <row r="1478" spans="1:16" x14ac:dyDescent="0.2">
      <c r="A1478" s="57"/>
      <c r="B1478" s="69"/>
      <c r="C1478" s="57"/>
      <c r="D1478" s="57"/>
      <c r="E1478" s="57"/>
      <c r="F1478" s="57"/>
      <c r="G1478" s="57"/>
      <c r="H1478" s="57"/>
      <c r="I1478" s="57"/>
      <c r="J1478" s="57"/>
      <c r="K1478" s="57"/>
      <c r="L1478" s="57"/>
      <c r="M1478" s="57"/>
      <c r="O1478" s="69"/>
      <c r="P1478" s="57"/>
    </row>
    <row r="1479" spans="1:16" x14ac:dyDescent="0.2">
      <c r="A1479" s="57"/>
      <c r="B1479" s="69"/>
      <c r="C1479" s="57"/>
      <c r="D1479" s="57"/>
      <c r="E1479" s="57"/>
      <c r="F1479" s="57"/>
      <c r="G1479" s="57"/>
      <c r="H1479" s="57"/>
      <c r="I1479" s="57"/>
      <c r="J1479" s="57"/>
      <c r="K1479" s="57"/>
      <c r="L1479" s="57"/>
      <c r="M1479" s="57"/>
      <c r="O1479" s="69"/>
      <c r="P1479" s="57"/>
    </row>
    <row r="1480" spans="1:16" x14ac:dyDescent="0.2">
      <c r="A1480" s="57"/>
      <c r="B1480" s="69"/>
      <c r="C1480" s="57"/>
      <c r="D1480" s="57"/>
      <c r="E1480" s="57"/>
      <c r="F1480" s="57"/>
      <c r="G1480" s="57"/>
      <c r="H1480" s="57"/>
      <c r="I1480" s="57"/>
      <c r="J1480" s="57"/>
      <c r="K1480" s="57"/>
      <c r="L1480" s="57"/>
      <c r="M1480" s="57"/>
      <c r="O1480" s="69"/>
      <c r="P1480" s="57"/>
    </row>
    <row r="1481" spans="1:16" x14ac:dyDescent="0.2">
      <c r="A1481" s="57"/>
      <c r="B1481" s="69"/>
      <c r="C1481" s="57"/>
      <c r="D1481" s="57"/>
      <c r="E1481" s="57"/>
      <c r="F1481" s="57"/>
      <c r="G1481" s="57"/>
      <c r="H1481" s="57"/>
      <c r="I1481" s="57"/>
      <c r="J1481" s="57"/>
      <c r="K1481" s="57"/>
      <c r="L1481" s="57"/>
      <c r="M1481" s="57"/>
      <c r="O1481" s="69"/>
      <c r="P1481" s="57"/>
    </row>
    <row r="1482" spans="1:16" x14ac:dyDescent="0.2">
      <c r="A1482" s="57"/>
      <c r="B1482" s="69"/>
      <c r="C1482" s="57"/>
      <c r="D1482" s="57"/>
      <c r="E1482" s="57"/>
      <c r="F1482" s="57"/>
      <c r="G1482" s="57"/>
      <c r="H1482" s="57"/>
      <c r="I1482" s="57"/>
      <c r="J1482" s="57"/>
      <c r="K1482" s="57"/>
      <c r="L1482" s="57"/>
      <c r="M1482" s="57"/>
      <c r="O1482" s="69"/>
      <c r="P1482" s="57"/>
    </row>
    <row r="1483" spans="1:16" x14ac:dyDescent="0.2">
      <c r="A1483" s="57"/>
      <c r="B1483" s="69"/>
      <c r="C1483" s="57"/>
      <c r="D1483" s="57"/>
      <c r="E1483" s="57"/>
      <c r="F1483" s="57"/>
      <c r="G1483" s="57"/>
      <c r="H1483" s="57"/>
      <c r="I1483" s="57"/>
      <c r="J1483" s="57"/>
      <c r="K1483" s="57"/>
      <c r="L1483" s="57"/>
      <c r="M1483" s="57"/>
      <c r="O1483" s="69"/>
      <c r="P1483" s="57"/>
    </row>
    <row r="1484" spans="1:16" x14ac:dyDescent="0.2">
      <c r="A1484" s="57"/>
      <c r="B1484" s="69"/>
      <c r="C1484" s="57"/>
      <c r="D1484" s="57"/>
      <c r="E1484" s="57"/>
      <c r="F1484" s="57"/>
      <c r="G1484" s="57"/>
      <c r="H1484" s="57"/>
      <c r="I1484" s="57"/>
      <c r="J1484" s="57"/>
      <c r="K1484" s="57"/>
      <c r="L1484" s="57"/>
      <c r="M1484" s="57"/>
      <c r="O1484" s="69"/>
      <c r="P1484" s="57"/>
    </row>
    <row r="1485" spans="1:16" x14ac:dyDescent="0.2">
      <c r="A1485" s="57"/>
      <c r="B1485" s="69"/>
      <c r="C1485" s="57"/>
      <c r="D1485" s="57"/>
      <c r="E1485" s="57"/>
      <c r="F1485" s="57"/>
      <c r="G1485" s="57"/>
      <c r="H1485" s="57"/>
      <c r="I1485" s="57"/>
      <c r="J1485" s="57"/>
      <c r="K1485" s="57"/>
      <c r="L1485" s="57"/>
      <c r="M1485" s="57"/>
      <c r="O1485" s="69"/>
      <c r="P1485" s="57"/>
    </row>
    <row r="1486" spans="1:16" x14ac:dyDescent="0.2">
      <c r="A1486" s="57"/>
      <c r="B1486" s="69"/>
      <c r="C1486" s="57"/>
      <c r="D1486" s="57"/>
      <c r="E1486" s="57"/>
      <c r="F1486" s="57"/>
      <c r="G1486" s="57"/>
      <c r="H1486" s="57"/>
      <c r="I1486" s="57"/>
      <c r="J1486" s="57"/>
      <c r="K1486" s="57"/>
      <c r="L1486" s="57"/>
      <c r="M1486" s="57"/>
      <c r="O1486" s="69"/>
      <c r="P1486" s="57"/>
    </row>
    <row r="1487" spans="1:16" x14ac:dyDescent="0.2">
      <c r="A1487" s="57"/>
      <c r="B1487" s="69"/>
      <c r="C1487" s="57"/>
      <c r="D1487" s="57"/>
      <c r="E1487" s="57"/>
      <c r="F1487" s="57"/>
      <c r="G1487" s="57"/>
      <c r="H1487" s="57"/>
      <c r="I1487" s="57"/>
      <c r="J1487" s="57"/>
      <c r="K1487" s="57"/>
      <c r="L1487" s="57"/>
      <c r="M1487" s="57"/>
      <c r="O1487" s="69"/>
      <c r="P1487" s="57"/>
    </row>
    <row r="1488" spans="1:16" x14ac:dyDescent="0.2">
      <c r="A1488" s="57"/>
      <c r="B1488" s="69"/>
      <c r="C1488" s="57"/>
      <c r="D1488" s="57"/>
      <c r="E1488" s="57"/>
      <c r="F1488" s="57"/>
      <c r="G1488" s="57"/>
      <c r="H1488" s="57"/>
      <c r="I1488" s="57"/>
      <c r="J1488" s="57"/>
      <c r="K1488" s="57"/>
      <c r="L1488" s="57"/>
      <c r="M1488" s="57"/>
      <c r="O1488" s="69"/>
      <c r="P1488" s="57"/>
    </row>
    <row r="1489" spans="1:16" x14ac:dyDescent="0.2">
      <c r="A1489" s="57"/>
      <c r="B1489" s="69"/>
      <c r="C1489" s="57"/>
      <c r="D1489" s="57"/>
      <c r="E1489" s="57"/>
      <c r="F1489" s="57"/>
      <c r="G1489" s="57"/>
      <c r="H1489" s="57"/>
      <c r="I1489" s="57"/>
      <c r="J1489" s="57"/>
      <c r="K1489" s="57"/>
      <c r="L1489" s="57"/>
      <c r="M1489" s="57"/>
      <c r="O1489" s="69"/>
      <c r="P1489" s="57"/>
    </row>
    <row r="1490" spans="1:16" x14ac:dyDescent="0.2">
      <c r="A1490" s="57"/>
      <c r="B1490" s="69"/>
      <c r="C1490" s="57"/>
      <c r="D1490" s="57"/>
      <c r="E1490" s="57"/>
      <c r="F1490" s="57"/>
      <c r="G1490" s="57"/>
      <c r="H1490" s="57"/>
      <c r="I1490" s="57"/>
      <c r="J1490" s="57"/>
      <c r="K1490" s="57"/>
      <c r="L1490" s="57"/>
      <c r="M1490" s="57"/>
      <c r="O1490" s="69"/>
      <c r="P1490" s="57"/>
    </row>
    <row r="1491" spans="1:16" x14ac:dyDescent="0.2">
      <c r="A1491" s="57"/>
      <c r="B1491" s="69"/>
      <c r="C1491" s="57"/>
      <c r="D1491" s="57"/>
      <c r="E1491" s="57"/>
      <c r="F1491" s="57"/>
      <c r="G1491" s="57"/>
      <c r="H1491" s="57"/>
      <c r="I1491" s="57"/>
      <c r="J1491" s="57"/>
      <c r="K1491" s="57"/>
      <c r="L1491" s="57"/>
      <c r="M1491" s="57"/>
      <c r="O1491" s="69"/>
      <c r="P1491" s="57"/>
    </row>
    <row r="1492" spans="1:16" x14ac:dyDescent="0.2">
      <c r="A1492" s="57"/>
      <c r="B1492" s="69"/>
      <c r="C1492" s="57"/>
      <c r="D1492" s="57"/>
      <c r="E1492" s="57"/>
      <c r="F1492" s="57"/>
      <c r="G1492" s="57"/>
      <c r="H1492" s="57"/>
      <c r="I1492" s="57"/>
      <c r="J1492" s="57"/>
      <c r="K1492" s="57"/>
      <c r="L1492" s="57"/>
      <c r="M1492" s="57"/>
      <c r="O1492" s="69"/>
      <c r="P1492" s="57"/>
    </row>
    <row r="1493" spans="1:16" x14ac:dyDescent="0.2">
      <c r="A1493" s="57"/>
      <c r="B1493" s="69"/>
      <c r="C1493" s="57"/>
      <c r="D1493" s="57"/>
      <c r="E1493" s="57"/>
      <c r="F1493" s="57"/>
      <c r="G1493" s="57"/>
      <c r="H1493" s="57"/>
      <c r="I1493" s="57"/>
      <c r="J1493" s="57"/>
      <c r="K1493" s="57"/>
      <c r="L1493" s="57"/>
      <c r="M1493" s="57"/>
      <c r="O1493" s="69"/>
      <c r="P1493" s="57"/>
    </row>
    <row r="1494" spans="1:16" x14ac:dyDescent="0.2">
      <c r="A1494" s="57"/>
      <c r="B1494" s="69"/>
      <c r="C1494" s="57"/>
      <c r="D1494" s="57"/>
      <c r="E1494" s="57"/>
      <c r="F1494" s="57"/>
      <c r="G1494" s="57"/>
      <c r="H1494" s="57"/>
      <c r="I1494" s="57"/>
      <c r="J1494" s="57"/>
      <c r="K1494" s="57"/>
      <c r="L1494" s="57"/>
      <c r="M1494" s="57"/>
      <c r="O1494" s="69"/>
      <c r="P1494" s="57"/>
    </row>
    <row r="1495" spans="1:16" x14ac:dyDescent="0.2">
      <c r="A1495" s="57"/>
      <c r="B1495" s="69"/>
      <c r="C1495" s="57"/>
      <c r="D1495" s="57"/>
      <c r="E1495" s="57"/>
      <c r="F1495" s="57"/>
      <c r="G1495" s="57"/>
      <c r="H1495" s="57"/>
      <c r="I1495" s="57"/>
      <c r="J1495" s="57"/>
      <c r="K1495" s="57"/>
      <c r="L1495" s="57"/>
      <c r="M1495" s="57"/>
      <c r="O1495" s="69"/>
      <c r="P1495" s="57"/>
    </row>
    <row r="1496" spans="1:16" x14ac:dyDescent="0.2">
      <c r="A1496" s="57"/>
      <c r="B1496" s="69"/>
      <c r="C1496" s="57"/>
      <c r="D1496" s="57"/>
      <c r="E1496" s="57"/>
      <c r="F1496" s="57"/>
      <c r="G1496" s="57"/>
      <c r="H1496" s="57"/>
      <c r="I1496" s="57"/>
      <c r="J1496" s="57"/>
      <c r="K1496" s="57"/>
      <c r="L1496" s="57"/>
      <c r="M1496" s="57"/>
      <c r="O1496" s="69"/>
      <c r="P1496" s="57"/>
    </row>
    <row r="1497" spans="1:16" x14ac:dyDescent="0.2">
      <c r="A1497" s="57"/>
      <c r="B1497" s="69"/>
      <c r="C1497" s="57"/>
      <c r="D1497" s="57"/>
      <c r="E1497" s="57"/>
      <c r="F1497" s="57"/>
      <c r="G1497" s="57"/>
      <c r="H1497" s="57"/>
      <c r="I1497" s="57"/>
      <c r="J1497" s="57"/>
      <c r="K1497" s="57"/>
      <c r="L1497" s="57"/>
      <c r="M1497" s="57"/>
      <c r="O1497" s="69"/>
      <c r="P1497" s="57"/>
    </row>
    <row r="1498" spans="1:16" x14ac:dyDescent="0.2">
      <c r="A1498" s="57"/>
      <c r="B1498" s="69"/>
      <c r="C1498" s="57"/>
      <c r="D1498" s="57"/>
      <c r="E1498" s="57"/>
      <c r="F1498" s="57"/>
      <c r="G1498" s="57"/>
      <c r="H1498" s="57"/>
      <c r="I1498" s="57"/>
      <c r="J1498" s="57"/>
      <c r="K1498" s="57"/>
      <c r="L1498" s="57"/>
      <c r="M1498" s="57"/>
      <c r="O1498" s="69"/>
      <c r="P1498" s="57"/>
    </row>
    <row r="1499" spans="1:16" x14ac:dyDescent="0.2">
      <c r="A1499" s="57"/>
      <c r="B1499" s="69"/>
      <c r="C1499" s="57"/>
      <c r="D1499" s="57"/>
      <c r="E1499" s="57"/>
      <c r="F1499" s="57"/>
      <c r="G1499" s="57"/>
      <c r="H1499" s="57"/>
      <c r="I1499" s="57"/>
      <c r="J1499" s="57"/>
      <c r="K1499" s="57"/>
      <c r="L1499" s="57"/>
      <c r="M1499" s="57"/>
      <c r="O1499" s="69"/>
      <c r="P1499" s="57"/>
    </row>
    <row r="1500" spans="1:16" x14ac:dyDescent="0.2">
      <c r="A1500" s="57"/>
      <c r="B1500" s="69"/>
      <c r="C1500" s="57"/>
      <c r="D1500" s="57"/>
      <c r="E1500" s="57"/>
      <c r="F1500" s="57"/>
      <c r="G1500" s="57"/>
      <c r="H1500" s="57"/>
      <c r="I1500" s="57"/>
      <c r="J1500" s="57"/>
      <c r="K1500" s="57"/>
      <c r="L1500" s="57"/>
      <c r="M1500" s="57"/>
      <c r="O1500" s="69"/>
      <c r="P1500" s="57"/>
    </row>
    <row r="1501" spans="1:16" x14ac:dyDescent="0.2">
      <c r="A1501" s="57"/>
      <c r="B1501" s="69"/>
      <c r="C1501" s="57"/>
      <c r="D1501" s="57"/>
      <c r="E1501" s="57"/>
      <c r="F1501" s="57"/>
      <c r="G1501" s="57"/>
      <c r="H1501" s="57"/>
      <c r="I1501" s="57"/>
      <c r="J1501" s="57"/>
      <c r="K1501" s="57"/>
      <c r="L1501" s="57"/>
      <c r="M1501" s="57"/>
      <c r="O1501" s="69"/>
      <c r="P1501" s="57"/>
    </row>
    <row r="1502" spans="1:16" x14ac:dyDescent="0.2">
      <c r="A1502" s="57"/>
      <c r="B1502" s="69"/>
      <c r="C1502" s="57"/>
      <c r="D1502" s="57"/>
      <c r="E1502" s="57"/>
      <c r="F1502" s="57"/>
      <c r="G1502" s="57"/>
      <c r="H1502" s="57"/>
      <c r="I1502" s="57"/>
      <c r="J1502" s="57"/>
      <c r="K1502" s="57"/>
      <c r="L1502" s="57"/>
      <c r="M1502" s="57"/>
      <c r="O1502" s="69"/>
      <c r="P1502" s="57"/>
    </row>
    <row r="1503" spans="1:16" x14ac:dyDescent="0.2">
      <c r="A1503" s="57"/>
      <c r="B1503" s="69"/>
      <c r="C1503" s="57"/>
      <c r="D1503" s="57"/>
      <c r="E1503" s="57"/>
      <c r="F1503" s="57"/>
      <c r="G1503" s="57"/>
      <c r="H1503" s="57"/>
      <c r="I1503" s="57"/>
      <c r="J1503" s="57"/>
      <c r="K1503" s="57"/>
      <c r="L1503" s="57"/>
      <c r="M1503" s="57"/>
      <c r="O1503" s="69"/>
      <c r="P1503" s="57"/>
    </row>
    <row r="1504" spans="1:16" x14ac:dyDescent="0.2">
      <c r="A1504" s="57"/>
      <c r="B1504" s="69"/>
      <c r="C1504" s="57"/>
      <c r="D1504" s="57"/>
      <c r="E1504" s="57"/>
      <c r="F1504" s="57"/>
      <c r="G1504" s="57"/>
      <c r="H1504" s="57"/>
      <c r="I1504" s="57"/>
      <c r="J1504" s="57"/>
      <c r="K1504" s="57"/>
      <c r="L1504" s="57"/>
      <c r="M1504" s="57"/>
      <c r="O1504" s="69"/>
      <c r="P1504" s="57"/>
    </row>
    <row r="1505" spans="1:16" x14ac:dyDescent="0.2">
      <c r="A1505" s="57"/>
      <c r="B1505" s="69"/>
      <c r="C1505" s="57"/>
      <c r="D1505" s="57"/>
      <c r="E1505" s="57"/>
      <c r="F1505" s="57"/>
      <c r="G1505" s="57"/>
      <c r="H1505" s="57"/>
      <c r="I1505" s="57"/>
      <c r="J1505" s="57"/>
      <c r="K1505" s="57"/>
      <c r="L1505" s="57"/>
      <c r="M1505" s="57"/>
      <c r="O1505" s="69"/>
      <c r="P1505" s="57"/>
    </row>
    <row r="1506" spans="1:16" x14ac:dyDescent="0.2">
      <c r="A1506" s="57"/>
      <c r="B1506" s="69"/>
      <c r="C1506" s="57"/>
      <c r="D1506" s="57"/>
      <c r="E1506" s="57"/>
      <c r="F1506" s="57"/>
      <c r="G1506" s="57"/>
      <c r="H1506" s="57"/>
      <c r="I1506" s="57"/>
      <c r="J1506" s="57"/>
      <c r="K1506" s="57"/>
      <c r="L1506" s="57"/>
      <c r="M1506" s="57"/>
      <c r="O1506" s="69"/>
      <c r="P1506" s="57"/>
    </row>
    <row r="1507" spans="1:16" x14ac:dyDescent="0.2">
      <c r="A1507" s="57"/>
      <c r="B1507" s="69"/>
      <c r="C1507" s="57"/>
      <c r="D1507" s="57"/>
      <c r="E1507" s="57"/>
      <c r="F1507" s="57"/>
      <c r="G1507" s="57"/>
      <c r="H1507" s="57"/>
      <c r="I1507" s="57"/>
      <c r="J1507" s="57"/>
      <c r="K1507" s="57"/>
      <c r="L1507" s="57"/>
      <c r="M1507" s="57"/>
      <c r="O1507" s="69"/>
      <c r="P1507" s="57"/>
    </row>
    <row r="1508" spans="1:16" x14ac:dyDescent="0.2">
      <c r="A1508" s="57"/>
      <c r="B1508" s="69"/>
      <c r="C1508" s="57"/>
      <c r="D1508" s="57"/>
      <c r="E1508" s="57"/>
      <c r="F1508" s="57"/>
      <c r="G1508" s="57"/>
      <c r="H1508" s="57"/>
      <c r="I1508" s="57"/>
      <c r="J1508" s="57"/>
      <c r="K1508" s="57"/>
      <c r="L1508" s="57"/>
      <c r="M1508" s="57"/>
      <c r="O1508" s="69"/>
      <c r="P1508" s="57"/>
    </row>
    <row r="1509" spans="1:16" x14ac:dyDescent="0.2">
      <c r="A1509" s="57"/>
      <c r="B1509" s="69"/>
      <c r="C1509" s="57"/>
      <c r="D1509" s="57"/>
      <c r="E1509" s="57"/>
      <c r="F1509" s="57"/>
      <c r="G1509" s="57"/>
      <c r="H1509" s="57"/>
      <c r="I1509" s="57"/>
      <c r="J1509" s="57"/>
      <c r="K1509" s="57"/>
      <c r="L1509" s="57"/>
      <c r="M1509" s="57"/>
      <c r="O1509" s="69"/>
      <c r="P1509" s="57"/>
    </row>
    <row r="1510" spans="1:16" x14ac:dyDescent="0.2">
      <c r="A1510" s="57"/>
      <c r="B1510" s="69"/>
      <c r="C1510" s="57"/>
      <c r="D1510" s="57"/>
      <c r="E1510" s="57"/>
      <c r="F1510" s="57"/>
      <c r="G1510" s="57"/>
      <c r="H1510" s="57"/>
      <c r="I1510" s="57"/>
      <c r="J1510" s="57"/>
      <c r="K1510" s="57"/>
      <c r="L1510" s="57"/>
      <c r="M1510" s="57"/>
      <c r="O1510" s="69"/>
      <c r="P1510" s="57"/>
    </row>
    <row r="1511" spans="1:16" x14ac:dyDescent="0.2">
      <c r="A1511" s="57"/>
      <c r="B1511" s="69"/>
      <c r="C1511" s="57"/>
      <c r="D1511" s="57"/>
      <c r="E1511" s="57"/>
      <c r="F1511" s="57"/>
      <c r="G1511" s="57"/>
      <c r="H1511" s="57"/>
      <c r="I1511" s="57"/>
      <c r="J1511" s="57"/>
      <c r="K1511" s="57"/>
      <c r="L1511" s="57"/>
      <c r="M1511" s="57"/>
      <c r="O1511" s="69"/>
      <c r="P1511" s="57"/>
    </row>
    <row r="1512" spans="1:16" x14ac:dyDescent="0.2">
      <c r="A1512" s="57"/>
      <c r="B1512" s="69"/>
      <c r="C1512" s="57"/>
      <c r="D1512" s="57"/>
      <c r="E1512" s="57"/>
      <c r="F1512" s="57"/>
      <c r="G1512" s="57"/>
      <c r="H1512" s="57"/>
      <c r="I1512" s="57"/>
      <c r="J1512" s="57"/>
      <c r="K1512" s="57"/>
      <c r="L1512" s="57"/>
      <c r="M1512" s="57"/>
      <c r="O1512" s="69"/>
      <c r="P1512" s="57"/>
    </row>
    <row r="1513" spans="1:16" x14ac:dyDescent="0.2">
      <c r="A1513" s="57"/>
      <c r="B1513" s="69"/>
      <c r="C1513" s="57"/>
      <c r="D1513" s="57"/>
      <c r="E1513" s="57"/>
      <c r="F1513" s="57"/>
      <c r="G1513" s="57"/>
      <c r="H1513" s="57"/>
      <c r="I1513" s="57"/>
      <c r="J1513" s="57"/>
      <c r="K1513" s="57"/>
      <c r="L1513" s="57"/>
      <c r="M1513" s="57"/>
      <c r="O1513" s="69"/>
      <c r="P1513" s="57"/>
    </row>
    <row r="1514" spans="1:16" x14ac:dyDescent="0.2">
      <c r="A1514" s="57"/>
      <c r="B1514" s="69"/>
      <c r="C1514" s="57"/>
      <c r="D1514" s="57"/>
      <c r="E1514" s="57"/>
      <c r="F1514" s="57"/>
      <c r="G1514" s="57"/>
      <c r="H1514" s="57"/>
      <c r="I1514" s="57"/>
      <c r="J1514" s="57"/>
      <c r="K1514" s="57"/>
      <c r="L1514" s="57"/>
      <c r="M1514" s="57"/>
      <c r="O1514" s="69"/>
      <c r="P1514" s="57"/>
    </row>
    <row r="1515" spans="1:16" x14ac:dyDescent="0.2">
      <c r="A1515" s="57"/>
      <c r="B1515" s="69"/>
      <c r="C1515" s="57"/>
      <c r="D1515" s="57"/>
      <c r="E1515" s="57"/>
      <c r="F1515" s="57"/>
      <c r="G1515" s="57"/>
      <c r="H1515" s="57"/>
      <c r="I1515" s="57"/>
      <c r="J1515" s="57"/>
      <c r="K1515" s="57"/>
      <c r="L1515" s="57"/>
      <c r="M1515" s="57"/>
      <c r="O1515" s="69"/>
      <c r="P1515" s="57"/>
    </row>
    <row r="1516" spans="1:16" x14ac:dyDescent="0.2">
      <c r="A1516" s="57"/>
      <c r="B1516" s="69"/>
      <c r="C1516" s="57"/>
      <c r="D1516" s="57"/>
      <c r="E1516" s="57"/>
      <c r="F1516" s="57"/>
      <c r="G1516" s="57"/>
      <c r="H1516" s="57"/>
      <c r="I1516" s="57"/>
      <c r="J1516" s="57"/>
      <c r="K1516" s="57"/>
      <c r="L1516" s="57"/>
      <c r="M1516" s="57"/>
      <c r="O1516" s="69"/>
      <c r="P1516" s="57"/>
    </row>
    <row r="1517" spans="1:16" x14ac:dyDescent="0.2">
      <c r="A1517" s="57"/>
      <c r="B1517" s="69"/>
      <c r="C1517" s="57"/>
      <c r="D1517" s="57"/>
      <c r="E1517" s="57"/>
      <c r="F1517" s="57"/>
      <c r="G1517" s="57"/>
      <c r="H1517" s="57"/>
      <c r="I1517" s="57"/>
      <c r="J1517" s="57"/>
      <c r="K1517" s="57"/>
      <c r="L1517" s="57"/>
      <c r="M1517" s="57"/>
      <c r="O1517" s="69"/>
      <c r="P1517" s="57"/>
    </row>
    <row r="1518" spans="1:16" x14ac:dyDescent="0.2">
      <c r="A1518" s="57"/>
      <c r="B1518" s="69"/>
      <c r="C1518" s="57"/>
      <c r="D1518" s="57"/>
      <c r="E1518" s="57"/>
      <c r="F1518" s="57"/>
      <c r="G1518" s="57"/>
      <c r="H1518" s="57"/>
      <c r="I1518" s="57"/>
      <c r="J1518" s="57"/>
      <c r="K1518" s="57"/>
      <c r="L1518" s="57"/>
      <c r="M1518" s="57"/>
      <c r="O1518" s="69"/>
      <c r="P1518" s="57"/>
    </row>
    <row r="1519" spans="1:16" x14ac:dyDescent="0.2">
      <c r="A1519" s="57"/>
      <c r="B1519" s="69"/>
      <c r="C1519" s="57"/>
      <c r="D1519" s="57"/>
      <c r="E1519" s="57"/>
      <c r="F1519" s="57"/>
      <c r="G1519" s="57"/>
      <c r="H1519" s="57"/>
      <c r="I1519" s="57"/>
      <c r="J1519" s="57"/>
      <c r="K1519" s="57"/>
      <c r="L1519" s="57"/>
      <c r="M1519" s="57"/>
      <c r="O1519" s="69"/>
      <c r="P1519" s="57"/>
    </row>
    <row r="1520" spans="1:16" x14ac:dyDescent="0.2">
      <c r="A1520" s="57"/>
      <c r="B1520" s="69"/>
      <c r="C1520" s="57"/>
      <c r="D1520" s="57"/>
      <c r="E1520" s="57"/>
      <c r="F1520" s="57"/>
      <c r="G1520" s="57"/>
      <c r="H1520" s="57"/>
      <c r="I1520" s="57"/>
      <c r="J1520" s="57"/>
      <c r="K1520" s="57"/>
      <c r="L1520" s="57"/>
      <c r="M1520" s="57"/>
      <c r="O1520" s="69"/>
      <c r="P1520" s="57"/>
    </row>
    <row r="1521" spans="1:16" x14ac:dyDescent="0.2">
      <c r="A1521" s="57"/>
      <c r="B1521" s="69"/>
      <c r="C1521" s="57"/>
      <c r="D1521" s="57"/>
      <c r="E1521" s="57"/>
      <c r="F1521" s="57"/>
      <c r="G1521" s="57"/>
      <c r="H1521" s="57"/>
      <c r="I1521" s="57"/>
      <c r="J1521" s="57"/>
      <c r="K1521" s="57"/>
      <c r="L1521" s="57"/>
      <c r="M1521" s="57"/>
      <c r="O1521" s="69"/>
      <c r="P1521" s="57"/>
    </row>
    <row r="1522" spans="1:16" x14ac:dyDescent="0.2">
      <c r="A1522" s="57"/>
      <c r="B1522" s="69"/>
      <c r="C1522" s="57"/>
      <c r="D1522" s="57"/>
      <c r="E1522" s="57"/>
      <c r="F1522" s="57"/>
      <c r="G1522" s="57"/>
      <c r="H1522" s="57"/>
      <c r="I1522" s="57"/>
      <c r="J1522" s="57"/>
      <c r="K1522" s="57"/>
      <c r="L1522" s="57"/>
      <c r="M1522" s="57"/>
      <c r="O1522" s="69"/>
      <c r="P1522" s="57"/>
    </row>
    <row r="1523" spans="1:16" x14ac:dyDescent="0.2">
      <c r="A1523" s="57"/>
      <c r="B1523" s="69"/>
      <c r="C1523" s="57"/>
      <c r="D1523" s="57"/>
      <c r="E1523" s="57"/>
      <c r="F1523" s="57"/>
      <c r="G1523" s="57"/>
      <c r="H1523" s="57"/>
      <c r="I1523" s="57"/>
      <c r="J1523" s="57"/>
      <c r="K1523" s="57"/>
      <c r="L1523" s="57"/>
      <c r="M1523" s="57"/>
      <c r="O1523" s="69"/>
      <c r="P1523" s="57"/>
    </row>
    <row r="1524" spans="1:16" x14ac:dyDescent="0.2">
      <c r="A1524" s="57"/>
      <c r="B1524" s="69"/>
      <c r="C1524" s="57"/>
      <c r="D1524" s="57"/>
      <c r="E1524" s="57"/>
      <c r="F1524" s="57"/>
      <c r="G1524" s="57"/>
      <c r="H1524" s="57"/>
      <c r="I1524" s="57"/>
      <c r="J1524" s="57"/>
      <c r="K1524" s="57"/>
      <c r="L1524" s="57"/>
      <c r="M1524" s="57"/>
      <c r="O1524" s="69"/>
      <c r="P1524" s="57"/>
    </row>
    <row r="1525" spans="1:16" x14ac:dyDescent="0.2">
      <c r="A1525" s="57"/>
      <c r="B1525" s="69"/>
      <c r="C1525" s="57"/>
      <c r="D1525" s="57"/>
      <c r="E1525" s="57"/>
      <c r="F1525" s="57"/>
      <c r="G1525" s="57"/>
      <c r="H1525" s="57"/>
      <c r="I1525" s="57"/>
      <c r="J1525" s="57"/>
      <c r="K1525" s="57"/>
      <c r="L1525" s="57"/>
      <c r="M1525" s="57"/>
      <c r="O1525" s="69"/>
      <c r="P1525" s="57"/>
    </row>
    <row r="1526" spans="1:16" x14ac:dyDescent="0.2">
      <c r="A1526" s="57"/>
      <c r="B1526" s="69"/>
      <c r="C1526" s="57"/>
      <c r="D1526" s="57"/>
      <c r="E1526" s="57"/>
      <c r="F1526" s="57"/>
      <c r="G1526" s="57"/>
      <c r="H1526" s="57"/>
      <c r="I1526" s="57"/>
      <c r="J1526" s="57"/>
      <c r="K1526" s="57"/>
      <c r="L1526" s="57"/>
      <c r="M1526" s="57"/>
      <c r="O1526" s="69"/>
      <c r="P1526" s="57"/>
    </row>
    <row r="1527" spans="1:16" x14ac:dyDescent="0.2">
      <c r="A1527" s="57"/>
      <c r="B1527" s="69"/>
      <c r="C1527" s="57"/>
      <c r="D1527" s="57"/>
      <c r="E1527" s="57"/>
      <c r="F1527" s="57"/>
      <c r="G1527" s="57"/>
      <c r="H1527" s="57"/>
      <c r="I1527" s="57"/>
      <c r="J1527" s="57"/>
      <c r="K1527" s="57"/>
      <c r="L1527" s="57"/>
      <c r="M1527" s="57"/>
      <c r="O1527" s="69"/>
      <c r="P1527" s="57"/>
    </row>
    <row r="1528" spans="1:16" x14ac:dyDescent="0.2">
      <c r="A1528" s="57"/>
      <c r="B1528" s="69"/>
      <c r="C1528" s="57"/>
      <c r="D1528" s="57"/>
      <c r="E1528" s="57"/>
      <c r="F1528" s="57"/>
      <c r="G1528" s="57"/>
      <c r="H1528" s="57"/>
      <c r="I1528" s="57"/>
      <c r="J1528" s="57"/>
      <c r="K1528" s="57"/>
      <c r="L1528" s="57"/>
      <c r="M1528" s="57"/>
      <c r="O1528" s="69"/>
      <c r="P1528" s="57"/>
    </row>
    <row r="1529" spans="1:16" x14ac:dyDescent="0.2">
      <c r="A1529" s="57"/>
      <c r="B1529" s="69"/>
      <c r="C1529" s="57"/>
      <c r="D1529" s="57"/>
      <c r="E1529" s="57"/>
      <c r="F1529" s="57"/>
      <c r="G1529" s="57"/>
      <c r="H1529" s="57"/>
      <c r="I1529" s="57"/>
      <c r="J1529" s="57"/>
      <c r="K1529" s="57"/>
      <c r="L1529" s="57"/>
      <c r="M1529" s="57"/>
      <c r="O1529" s="69"/>
      <c r="P1529" s="57"/>
    </row>
    <row r="1530" spans="1:16" x14ac:dyDescent="0.2">
      <c r="A1530" s="57"/>
      <c r="B1530" s="69"/>
      <c r="C1530" s="57"/>
      <c r="D1530" s="57"/>
      <c r="E1530" s="57"/>
      <c r="F1530" s="57"/>
      <c r="G1530" s="57"/>
      <c r="H1530" s="57"/>
      <c r="I1530" s="57"/>
      <c r="J1530" s="57"/>
      <c r="K1530" s="57"/>
      <c r="L1530" s="57"/>
      <c r="M1530" s="57"/>
      <c r="O1530" s="69"/>
      <c r="P1530" s="57"/>
    </row>
    <row r="1531" spans="1:16" x14ac:dyDescent="0.2">
      <c r="A1531" s="57"/>
      <c r="B1531" s="69"/>
      <c r="C1531" s="57"/>
      <c r="D1531" s="57"/>
      <c r="E1531" s="57"/>
      <c r="F1531" s="57"/>
      <c r="G1531" s="57"/>
      <c r="H1531" s="57"/>
      <c r="I1531" s="57"/>
      <c r="J1531" s="57"/>
      <c r="K1531" s="57"/>
      <c r="L1531" s="57"/>
      <c r="M1531" s="57"/>
      <c r="O1531" s="69"/>
      <c r="P1531" s="57"/>
    </row>
    <row r="1532" spans="1:16" x14ac:dyDescent="0.2">
      <c r="A1532" s="57"/>
      <c r="B1532" s="69"/>
      <c r="C1532" s="57"/>
      <c r="D1532" s="57"/>
      <c r="E1532" s="57"/>
      <c r="F1532" s="57"/>
      <c r="G1532" s="57"/>
      <c r="H1532" s="57"/>
      <c r="I1532" s="57"/>
      <c r="J1532" s="57"/>
      <c r="K1532" s="57"/>
      <c r="L1532" s="57"/>
      <c r="M1532" s="57"/>
      <c r="O1532" s="69"/>
      <c r="P1532" s="57"/>
    </row>
    <row r="1533" spans="1:16" x14ac:dyDescent="0.2">
      <c r="A1533" s="57"/>
      <c r="B1533" s="69"/>
      <c r="C1533" s="57"/>
      <c r="D1533" s="57"/>
      <c r="E1533" s="57"/>
      <c r="F1533" s="57"/>
      <c r="G1533" s="57"/>
      <c r="H1533" s="57"/>
      <c r="I1533" s="57"/>
      <c r="J1533" s="57"/>
      <c r="K1533" s="57"/>
      <c r="L1533" s="57"/>
      <c r="M1533" s="57"/>
      <c r="O1533" s="69"/>
      <c r="P1533" s="57"/>
    </row>
    <row r="1534" spans="1:16" x14ac:dyDescent="0.2">
      <c r="A1534" s="57"/>
      <c r="B1534" s="69"/>
      <c r="C1534" s="57"/>
      <c r="D1534" s="57"/>
      <c r="E1534" s="57"/>
      <c r="F1534" s="57"/>
      <c r="G1534" s="57"/>
      <c r="H1534" s="57"/>
      <c r="I1534" s="57"/>
      <c r="J1534" s="57"/>
      <c r="K1534" s="57"/>
      <c r="L1534" s="57"/>
      <c r="M1534" s="57"/>
      <c r="O1534" s="69"/>
      <c r="P1534" s="57"/>
    </row>
    <row r="1535" spans="1:16" x14ac:dyDescent="0.2">
      <c r="A1535" s="57"/>
      <c r="B1535" s="69"/>
      <c r="C1535" s="57"/>
      <c r="D1535" s="57"/>
      <c r="E1535" s="57"/>
      <c r="F1535" s="57"/>
      <c r="G1535" s="57"/>
      <c r="H1535" s="57"/>
      <c r="I1535" s="57"/>
      <c r="J1535" s="57"/>
      <c r="K1535" s="57"/>
      <c r="L1535" s="57"/>
      <c r="M1535" s="57"/>
      <c r="O1535" s="69"/>
      <c r="P1535" s="57"/>
    </row>
    <row r="1536" spans="1:16" x14ac:dyDescent="0.2">
      <c r="A1536" s="57"/>
      <c r="B1536" s="69"/>
      <c r="C1536" s="57"/>
      <c r="D1536" s="57"/>
      <c r="E1536" s="57"/>
      <c r="F1536" s="57"/>
      <c r="G1536" s="57"/>
      <c r="H1536" s="57"/>
      <c r="I1536" s="57"/>
      <c r="J1536" s="57"/>
      <c r="K1536" s="57"/>
      <c r="L1536" s="57"/>
      <c r="M1536" s="57"/>
      <c r="O1536" s="69"/>
      <c r="P1536" s="57"/>
    </row>
    <row r="1537" spans="1:16" x14ac:dyDescent="0.2">
      <c r="A1537" s="57"/>
      <c r="B1537" s="69"/>
      <c r="C1537" s="57"/>
      <c r="D1537" s="57"/>
      <c r="E1537" s="57"/>
      <c r="F1537" s="57"/>
      <c r="G1537" s="57"/>
      <c r="H1537" s="57"/>
      <c r="I1537" s="57"/>
      <c r="J1537" s="57"/>
      <c r="K1537" s="57"/>
      <c r="L1537" s="57"/>
      <c r="M1537" s="57"/>
      <c r="O1537" s="69"/>
      <c r="P1537" s="57"/>
    </row>
    <row r="1538" spans="1:16" x14ac:dyDescent="0.2">
      <c r="A1538" s="57"/>
      <c r="B1538" s="69"/>
      <c r="C1538" s="57"/>
      <c r="D1538" s="57"/>
      <c r="E1538" s="57"/>
      <c r="F1538" s="57"/>
      <c r="G1538" s="57"/>
      <c r="H1538" s="57"/>
      <c r="I1538" s="57"/>
      <c r="J1538" s="57"/>
      <c r="K1538" s="57"/>
      <c r="L1538" s="57"/>
      <c r="M1538" s="57"/>
      <c r="O1538" s="69"/>
      <c r="P1538" s="57"/>
    </row>
    <row r="1539" spans="1:16" x14ac:dyDescent="0.2">
      <c r="A1539" s="57"/>
      <c r="B1539" s="69"/>
      <c r="C1539" s="57"/>
      <c r="D1539" s="57"/>
      <c r="E1539" s="57"/>
      <c r="F1539" s="57"/>
      <c r="G1539" s="57"/>
      <c r="H1539" s="57"/>
      <c r="I1539" s="57"/>
      <c r="J1539" s="57"/>
      <c r="K1539" s="57"/>
      <c r="L1539" s="57"/>
      <c r="M1539" s="57"/>
      <c r="O1539" s="69"/>
      <c r="P1539" s="57"/>
    </row>
    <row r="1540" spans="1:16" x14ac:dyDescent="0.2">
      <c r="A1540" s="57"/>
      <c r="B1540" s="69"/>
      <c r="C1540" s="57"/>
      <c r="D1540" s="57"/>
      <c r="E1540" s="57"/>
      <c r="F1540" s="57"/>
      <c r="G1540" s="57"/>
      <c r="H1540" s="57"/>
      <c r="I1540" s="57"/>
      <c r="J1540" s="57"/>
      <c r="K1540" s="57"/>
      <c r="L1540" s="57"/>
      <c r="M1540" s="57"/>
      <c r="O1540" s="69"/>
      <c r="P1540" s="57"/>
    </row>
    <row r="1541" spans="1:16" x14ac:dyDescent="0.2">
      <c r="A1541" s="57"/>
      <c r="B1541" s="69"/>
      <c r="C1541" s="57"/>
      <c r="D1541" s="57"/>
      <c r="E1541" s="57"/>
      <c r="F1541" s="57"/>
      <c r="G1541" s="57"/>
      <c r="H1541" s="57"/>
      <c r="I1541" s="57"/>
      <c r="J1541" s="57"/>
      <c r="K1541" s="57"/>
      <c r="L1541" s="57"/>
      <c r="M1541" s="57"/>
      <c r="O1541" s="69"/>
      <c r="P1541" s="57"/>
    </row>
    <row r="1542" spans="1:16" x14ac:dyDescent="0.2">
      <c r="A1542" s="57"/>
      <c r="B1542" s="69"/>
      <c r="C1542" s="57"/>
      <c r="D1542" s="57"/>
      <c r="E1542" s="57"/>
      <c r="F1542" s="57"/>
      <c r="G1542" s="57"/>
      <c r="H1542" s="57"/>
      <c r="I1542" s="57"/>
      <c r="J1542" s="57"/>
      <c r="K1542" s="57"/>
      <c r="L1542" s="57"/>
      <c r="M1542" s="57"/>
      <c r="O1542" s="69"/>
      <c r="P1542" s="57"/>
    </row>
    <row r="1543" spans="1:16" x14ac:dyDescent="0.2">
      <c r="A1543" s="57"/>
      <c r="B1543" s="69"/>
      <c r="C1543" s="57"/>
      <c r="D1543" s="57"/>
      <c r="E1543" s="57"/>
      <c r="F1543" s="57"/>
      <c r="G1543" s="57"/>
      <c r="H1543" s="57"/>
      <c r="I1543" s="57"/>
      <c r="J1543" s="57"/>
      <c r="K1543" s="57"/>
      <c r="L1543" s="57"/>
      <c r="M1543" s="57"/>
      <c r="O1543" s="69"/>
      <c r="P1543" s="57"/>
    </row>
    <row r="1544" spans="1:16" x14ac:dyDescent="0.2">
      <c r="A1544" s="57"/>
      <c r="B1544" s="69"/>
      <c r="C1544" s="57"/>
      <c r="D1544" s="57"/>
      <c r="E1544" s="57"/>
      <c r="F1544" s="57"/>
      <c r="G1544" s="57"/>
      <c r="H1544" s="57"/>
      <c r="I1544" s="57"/>
      <c r="J1544" s="57"/>
      <c r="K1544" s="57"/>
      <c r="L1544" s="57"/>
      <c r="M1544" s="57"/>
      <c r="O1544" s="69"/>
      <c r="P1544" s="57"/>
    </row>
    <row r="1545" spans="1:16" x14ac:dyDescent="0.2">
      <c r="A1545" s="57"/>
      <c r="B1545" s="69"/>
      <c r="C1545" s="57"/>
      <c r="D1545" s="57"/>
      <c r="E1545" s="57"/>
      <c r="F1545" s="57"/>
      <c r="G1545" s="57"/>
      <c r="H1545" s="57"/>
      <c r="I1545" s="57"/>
      <c r="J1545" s="57"/>
      <c r="K1545" s="57"/>
      <c r="L1545" s="57"/>
      <c r="M1545" s="57"/>
      <c r="O1545" s="69"/>
      <c r="P1545" s="57"/>
    </row>
    <row r="1546" spans="1:16" x14ac:dyDescent="0.2">
      <c r="A1546" s="57"/>
      <c r="B1546" s="69"/>
      <c r="C1546" s="57"/>
      <c r="D1546" s="57"/>
      <c r="E1546" s="57"/>
      <c r="F1546" s="57"/>
      <c r="G1546" s="57"/>
      <c r="H1546" s="57"/>
      <c r="I1546" s="57"/>
      <c r="J1546" s="57"/>
      <c r="K1546" s="57"/>
      <c r="L1546" s="57"/>
      <c r="M1546" s="57"/>
      <c r="O1546" s="69"/>
      <c r="P1546" s="57"/>
    </row>
    <row r="1547" spans="1:16" x14ac:dyDescent="0.2">
      <c r="A1547" s="57"/>
      <c r="B1547" s="69"/>
      <c r="C1547" s="57"/>
      <c r="D1547" s="57"/>
      <c r="E1547" s="57"/>
      <c r="F1547" s="57"/>
      <c r="G1547" s="57"/>
      <c r="H1547" s="57"/>
      <c r="I1547" s="57"/>
      <c r="J1547" s="57"/>
      <c r="K1547" s="57"/>
      <c r="L1547" s="57"/>
      <c r="M1547" s="57"/>
      <c r="O1547" s="69"/>
      <c r="P1547" s="57"/>
    </row>
    <row r="1548" spans="1:16" x14ac:dyDescent="0.2">
      <c r="A1548" s="57"/>
      <c r="B1548" s="69"/>
      <c r="C1548" s="57"/>
      <c r="D1548" s="57"/>
      <c r="E1548" s="57"/>
      <c r="F1548" s="57"/>
      <c r="G1548" s="57"/>
      <c r="H1548" s="57"/>
      <c r="I1548" s="57"/>
      <c r="J1548" s="57"/>
      <c r="K1548" s="57"/>
      <c r="L1548" s="57"/>
      <c r="M1548" s="57"/>
      <c r="O1548" s="69"/>
      <c r="P1548" s="57"/>
    </row>
    <row r="1549" spans="1:16" x14ac:dyDescent="0.2">
      <c r="A1549" s="57"/>
      <c r="B1549" s="69"/>
      <c r="C1549" s="57"/>
      <c r="D1549" s="57"/>
      <c r="E1549" s="57"/>
      <c r="F1549" s="57"/>
      <c r="G1549" s="57"/>
      <c r="H1549" s="57"/>
      <c r="I1549" s="57"/>
      <c r="J1549" s="57"/>
      <c r="K1549" s="57"/>
      <c r="L1549" s="57"/>
      <c r="M1549" s="57"/>
      <c r="O1549" s="69"/>
      <c r="P1549" s="57"/>
    </row>
    <row r="1550" spans="1:16" x14ac:dyDescent="0.2">
      <c r="A1550" s="57"/>
      <c r="B1550" s="69"/>
      <c r="C1550" s="57"/>
      <c r="D1550" s="57"/>
      <c r="E1550" s="57"/>
      <c r="F1550" s="57"/>
      <c r="G1550" s="57"/>
      <c r="H1550" s="57"/>
      <c r="I1550" s="57"/>
      <c r="J1550" s="57"/>
      <c r="K1550" s="57"/>
      <c r="L1550" s="57"/>
      <c r="M1550" s="57"/>
      <c r="O1550" s="69"/>
      <c r="P1550" s="57"/>
    </row>
    <row r="1551" spans="1:16" x14ac:dyDescent="0.2">
      <c r="A1551" s="57"/>
      <c r="B1551" s="69"/>
      <c r="C1551" s="57"/>
      <c r="D1551" s="57"/>
      <c r="E1551" s="57"/>
      <c r="F1551" s="57"/>
      <c r="G1551" s="57"/>
      <c r="H1551" s="57"/>
      <c r="I1551" s="57"/>
      <c r="J1551" s="57"/>
      <c r="K1551" s="57"/>
      <c r="L1551" s="57"/>
      <c r="M1551" s="57"/>
      <c r="O1551" s="69"/>
      <c r="P1551" s="57"/>
    </row>
    <row r="1552" spans="1:16" x14ac:dyDescent="0.2">
      <c r="A1552" s="57"/>
      <c r="B1552" s="69"/>
      <c r="C1552" s="57"/>
      <c r="D1552" s="57"/>
      <c r="E1552" s="57"/>
      <c r="F1552" s="57"/>
      <c r="G1552" s="57"/>
      <c r="H1552" s="57"/>
      <c r="I1552" s="57"/>
      <c r="J1552" s="57"/>
      <c r="K1552" s="57"/>
      <c r="L1552" s="57"/>
      <c r="M1552" s="57"/>
      <c r="O1552" s="69"/>
      <c r="P1552" s="57"/>
    </row>
    <row r="1553" spans="1:16" x14ac:dyDescent="0.2">
      <c r="A1553" s="57"/>
      <c r="B1553" s="69"/>
      <c r="C1553" s="57"/>
      <c r="D1553" s="57"/>
      <c r="E1553" s="57"/>
      <c r="F1553" s="57"/>
      <c r="G1553" s="57"/>
      <c r="H1553" s="57"/>
      <c r="I1553" s="57"/>
      <c r="J1553" s="57"/>
      <c r="K1553" s="57"/>
      <c r="L1553" s="57"/>
      <c r="M1553" s="57"/>
      <c r="O1553" s="69"/>
      <c r="P1553" s="57"/>
    </row>
    <row r="1554" spans="1:16" x14ac:dyDescent="0.2">
      <c r="A1554" s="57"/>
      <c r="B1554" s="69"/>
      <c r="C1554" s="57"/>
      <c r="D1554" s="57"/>
      <c r="E1554" s="57"/>
      <c r="F1554" s="57"/>
      <c r="G1554" s="57"/>
      <c r="H1554" s="57"/>
      <c r="I1554" s="57"/>
      <c r="J1554" s="57"/>
      <c r="K1554" s="57"/>
      <c r="L1554" s="57"/>
      <c r="M1554" s="57"/>
      <c r="O1554" s="69"/>
      <c r="P1554" s="57"/>
    </row>
    <row r="1555" spans="1:16" x14ac:dyDescent="0.2">
      <c r="A1555" s="57"/>
      <c r="B1555" s="69"/>
      <c r="C1555" s="57"/>
      <c r="D1555" s="57"/>
      <c r="E1555" s="57"/>
      <c r="F1555" s="57"/>
      <c r="G1555" s="57"/>
      <c r="H1555" s="57"/>
      <c r="I1555" s="57"/>
      <c r="J1555" s="57"/>
      <c r="K1555" s="57"/>
      <c r="L1555" s="57"/>
      <c r="M1555" s="57"/>
      <c r="O1555" s="69"/>
      <c r="P1555" s="57"/>
    </row>
    <row r="1556" spans="1:16" x14ac:dyDescent="0.2">
      <c r="A1556" s="57"/>
      <c r="B1556" s="69"/>
      <c r="C1556" s="57"/>
      <c r="D1556" s="57"/>
      <c r="E1556" s="57"/>
      <c r="F1556" s="57"/>
      <c r="G1556" s="57"/>
      <c r="H1556" s="57"/>
      <c r="I1556" s="57"/>
      <c r="J1556" s="57"/>
      <c r="K1556" s="57"/>
      <c r="L1556" s="57"/>
      <c r="M1556" s="57"/>
      <c r="O1556" s="69"/>
      <c r="P1556" s="57"/>
    </row>
    <row r="1557" spans="1:16" x14ac:dyDescent="0.2">
      <c r="A1557" s="57"/>
      <c r="B1557" s="69"/>
      <c r="C1557" s="57"/>
      <c r="D1557" s="57"/>
      <c r="E1557" s="57"/>
      <c r="F1557" s="57"/>
      <c r="G1557" s="57"/>
      <c r="H1557" s="57"/>
      <c r="I1557" s="57"/>
      <c r="J1557" s="57"/>
      <c r="K1557" s="57"/>
      <c r="L1557" s="57"/>
      <c r="M1557" s="57"/>
      <c r="O1557" s="69"/>
      <c r="P1557" s="57"/>
    </row>
    <row r="1558" spans="1:16" x14ac:dyDescent="0.2">
      <c r="A1558" s="57"/>
      <c r="B1558" s="69"/>
      <c r="C1558" s="57"/>
      <c r="D1558" s="57"/>
      <c r="E1558" s="57"/>
      <c r="F1558" s="57"/>
      <c r="G1558" s="57"/>
      <c r="H1558" s="57"/>
      <c r="I1558" s="57"/>
      <c r="J1558" s="57"/>
      <c r="K1558" s="57"/>
      <c r="L1558" s="57"/>
      <c r="M1558" s="57"/>
      <c r="O1558" s="69"/>
      <c r="P1558" s="57"/>
    </row>
    <row r="1559" spans="1:16" x14ac:dyDescent="0.2">
      <c r="A1559" s="57"/>
      <c r="B1559" s="69"/>
      <c r="C1559" s="57"/>
      <c r="D1559" s="57"/>
      <c r="E1559" s="57"/>
      <c r="F1559" s="57"/>
      <c r="G1559" s="57"/>
      <c r="H1559" s="57"/>
      <c r="I1559" s="57"/>
      <c r="J1559" s="57"/>
      <c r="K1559" s="57"/>
      <c r="L1559" s="57"/>
      <c r="M1559" s="57"/>
      <c r="O1559" s="69"/>
      <c r="P1559" s="57"/>
    </row>
    <row r="1560" spans="1:16" x14ac:dyDescent="0.2">
      <c r="A1560" s="57"/>
      <c r="B1560" s="69"/>
      <c r="C1560" s="57"/>
      <c r="D1560" s="57"/>
      <c r="E1560" s="57"/>
      <c r="F1560" s="57"/>
      <c r="G1560" s="57"/>
      <c r="H1560" s="57"/>
      <c r="I1560" s="57"/>
      <c r="J1560" s="57"/>
      <c r="K1560" s="57"/>
      <c r="L1560" s="57"/>
      <c r="M1560" s="57"/>
      <c r="O1560" s="69"/>
      <c r="P1560" s="57"/>
    </row>
    <row r="1561" spans="1:16" x14ac:dyDescent="0.2">
      <c r="A1561" s="57"/>
      <c r="B1561" s="69"/>
      <c r="C1561" s="57"/>
      <c r="D1561" s="57"/>
      <c r="E1561" s="57"/>
      <c r="F1561" s="57"/>
      <c r="G1561" s="57"/>
      <c r="H1561" s="57"/>
      <c r="I1561" s="57"/>
      <c r="J1561" s="57"/>
      <c r="K1561" s="57"/>
      <c r="L1561" s="57"/>
      <c r="M1561" s="57"/>
      <c r="O1561" s="69"/>
      <c r="P1561" s="57"/>
    </row>
    <row r="1562" spans="1:16" x14ac:dyDescent="0.2">
      <c r="A1562" s="57"/>
      <c r="B1562" s="69"/>
      <c r="C1562" s="57"/>
      <c r="D1562" s="57"/>
      <c r="E1562" s="57"/>
      <c r="F1562" s="57"/>
      <c r="G1562" s="57"/>
      <c r="H1562" s="57"/>
      <c r="I1562" s="57"/>
      <c r="J1562" s="57"/>
      <c r="K1562" s="57"/>
      <c r="L1562" s="57"/>
      <c r="M1562" s="57"/>
      <c r="O1562" s="69"/>
      <c r="P1562" s="57"/>
    </row>
    <row r="1563" spans="1:16" x14ac:dyDescent="0.2">
      <c r="A1563" s="57"/>
      <c r="B1563" s="69"/>
      <c r="C1563" s="57"/>
      <c r="D1563" s="57"/>
      <c r="E1563" s="57"/>
      <c r="F1563" s="57"/>
      <c r="G1563" s="57"/>
      <c r="H1563" s="57"/>
      <c r="I1563" s="57"/>
      <c r="J1563" s="57"/>
      <c r="K1563" s="57"/>
      <c r="L1563" s="57"/>
      <c r="M1563" s="57"/>
      <c r="O1563" s="69"/>
      <c r="P1563" s="57"/>
    </row>
    <row r="1564" spans="1:16" x14ac:dyDescent="0.2">
      <c r="A1564" s="57"/>
      <c r="B1564" s="69"/>
      <c r="C1564" s="57"/>
      <c r="D1564" s="57"/>
      <c r="E1564" s="57"/>
      <c r="F1564" s="57"/>
      <c r="G1564" s="57"/>
      <c r="H1564" s="57"/>
      <c r="I1564" s="57"/>
      <c r="J1564" s="57"/>
      <c r="K1564" s="57"/>
      <c r="L1564" s="57"/>
      <c r="M1564" s="57"/>
      <c r="O1564" s="69"/>
      <c r="P1564" s="57"/>
    </row>
    <row r="1565" spans="1:16" x14ac:dyDescent="0.2">
      <c r="A1565" s="57"/>
      <c r="B1565" s="69"/>
      <c r="C1565" s="57"/>
      <c r="D1565" s="57"/>
      <c r="E1565" s="57"/>
      <c r="F1565" s="57"/>
      <c r="G1565" s="57"/>
      <c r="H1565" s="57"/>
      <c r="I1565" s="57"/>
      <c r="J1565" s="57"/>
      <c r="K1565" s="57"/>
      <c r="L1565" s="57"/>
      <c r="M1565" s="57"/>
      <c r="O1565" s="69"/>
      <c r="P1565" s="57"/>
    </row>
    <row r="1566" spans="1:16" x14ac:dyDescent="0.2">
      <c r="A1566" s="57"/>
      <c r="B1566" s="69"/>
      <c r="C1566" s="57"/>
      <c r="D1566" s="57"/>
      <c r="E1566" s="57"/>
      <c r="F1566" s="57"/>
      <c r="G1566" s="57"/>
      <c r="H1566" s="57"/>
      <c r="I1566" s="57"/>
      <c r="J1566" s="57"/>
      <c r="K1566" s="57"/>
      <c r="L1566" s="57"/>
      <c r="M1566" s="57"/>
      <c r="O1566" s="69"/>
      <c r="P1566" s="57"/>
    </row>
    <row r="1567" spans="1:16" x14ac:dyDescent="0.2">
      <c r="A1567" s="57"/>
      <c r="B1567" s="69"/>
      <c r="C1567" s="57"/>
      <c r="D1567" s="57"/>
      <c r="E1567" s="57"/>
      <c r="F1567" s="57"/>
      <c r="G1567" s="57"/>
      <c r="H1567" s="57"/>
      <c r="I1567" s="57"/>
      <c r="J1567" s="57"/>
      <c r="K1567" s="57"/>
      <c r="L1567" s="57"/>
      <c r="M1567" s="57"/>
      <c r="O1567" s="69"/>
      <c r="P1567" s="57"/>
    </row>
    <row r="1568" spans="1:16" x14ac:dyDescent="0.2">
      <c r="A1568" s="57"/>
      <c r="B1568" s="69"/>
      <c r="C1568" s="57"/>
      <c r="D1568" s="57"/>
      <c r="E1568" s="57"/>
      <c r="F1568" s="57"/>
      <c r="G1568" s="57"/>
      <c r="H1568" s="57"/>
      <c r="I1568" s="57"/>
      <c r="J1568" s="57"/>
      <c r="K1568" s="57"/>
      <c r="L1568" s="57"/>
      <c r="M1568" s="57"/>
      <c r="O1568" s="69"/>
      <c r="P1568" s="57"/>
    </row>
    <row r="1569" spans="1:16" x14ac:dyDescent="0.2">
      <c r="A1569" s="57"/>
      <c r="B1569" s="69"/>
      <c r="C1569" s="57"/>
      <c r="D1569" s="57"/>
      <c r="E1569" s="57"/>
      <c r="F1569" s="57"/>
      <c r="G1569" s="57"/>
      <c r="H1569" s="57"/>
      <c r="I1569" s="57"/>
      <c r="J1569" s="57"/>
      <c r="K1569" s="57"/>
      <c r="L1569" s="57"/>
      <c r="M1569" s="57"/>
      <c r="O1569" s="69"/>
      <c r="P1569" s="57"/>
    </row>
    <row r="1570" spans="1:16" x14ac:dyDescent="0.2">
      <c r="A1570" s="57"/>
      <c r="B1570" s="69"/>
      <c r="C1570" s="57"/>
      <c r="D1570" s="57"/>
      <c r="E1570" s="57"/>
      <c r="F1570" s="57"/>
      <c r="G1570" s="57"/>
      <c r="H1570" s="57"/>
      <c r="I1570" s="57"/>
      <c r="J1570" s="57"/>
      <c r="K1570" s="57"/>
      <c r="L1570" s="57"/>
      <c r="M1570" s="57"/>
      <c r="O1570" s="69"/>
      <c r="P1570" s="57"/>
    </row>
    <row r="1571" spans="1:16" x14ac:dyDescent="0.2">
      <c r="A1571" s="57"/>
      <c r="B1571" s="69"/>
      <c r="C1571" s="57"/>
      <c r="D1571" s="57"/>
      <c r="E1571" s="57"/>
      <c r="F1571" s="57"/>
      <c r="G1571" s="57"/>
      <c r="H1571" s="57"/>
      <c r="I1571" s="57"/>
      <c r="J1571" s="57"/>
      <c r="K1571" s="57"/>
      <c r="L1571" s="57"/>
      <c r="M1571" s="57"/>
      <c r="O1571" s="69"/>
      <c r="P1571" s="57"/>
    </row>
    <row r="1572" spans="1:16" x14ac:dyDescent="0.2">
      <c r="A1572" s="57"/>
      <c r="B1572" s="69"/>
      <c r="C1572" s="57"/>
      <c r="D1572" s="57"/>
      <c r="E1572" s="57"/>
      <c r="F1572" s="57"/>
      <c r="G1572" s="57"/>
      <c r="H1572" s="57"/>
      <c r="I1572" s="57"/>
      <c r="J1572" s="57"/>
      <c r="K1572" s="57"/>
      <c r="L1572" s="57"/>
      <c r="M1572" s="57"/>
      <c r="O1572" s="69"/>
      <c r="P1572" s="57"/>
    </row>
    <row r="1573" spans="1:16" x14ac:dyDescent="0.2">
      <c r="A1573" s="57"/>
      <c r="B1573" s="69"/>
      <c r="C1573" s="57"/>
      <c r="D1573" s="57"/>
      <c r="E1573" s="57"/>
      <c r="F1573" s="57"/>
      <c r="G1573" s="57"/>
      <c r="H1573" s="57"/>
      <c r="I1573" s="57"/>
      <c r="J1573" s="57"/>
      <c r="K1573" s="57"/>
      <c r="L1573" s="57"/>
      <c r="M1573" s="57"/>
      <c r="O1573" s="69"/>
      <c r="P1573" s="57"/>
    </row>
    <row r="1574" spans="1:16" x14ac:dyDescent="0.2">
      <c r="A1574" s="57"/>
      <c r="B1574" s="69"/>
      <c r="C1574" s="57"/>
      <c r="D1574" s="57"/>
      <c r="E1574" s="57"/>
      <c r="F1574" s="57"/>
      <c r="G1574" s="57"/>
      <c r="H1574" s="57"/>
      <c r="I1574" s="57"/>
      <c r="J1574" s="57"/>
      <c r="K1574" s="57"/>
      <c r="L1574" s="57"/>
      <c r="M1574" s="57"/>
      <c r="O1574" s="69"/>
      <c r="P1574" s="57"/>
    </row>
    <row r="1575" spans="1:16" x14ac:dyDescent="0.2">
      <c r="A1575" s="57"/>
      <c r="B1575" s="69"/>
      <c r="C1575" s="57"/>
      <c r="D1575" s="57"/>
      <c r="E1575" s="57"/>
      <c r="F1575" s="57"/>
      <c r="G1575" s="57"/>
      <c r="H1575" s="57"/>
      <c r="I1575" s="57"/>
      <c r="J1575" s="57"/>
      <c r="K1575" s="57"/>
      <c r="L1575" s="57"/>
      <c r="M1575" s="57"/>
      <c r="O1575" s="69"/>
      <c r="P1575" s="57"/>
    </row>
    <row r="1576" spans="1:16" x14ac:dyDescent="0.2">
      <c r="A1576" s="57"/>
      <c r="B1576" s="69"/>
      <c r="C1576" s="57"/>
      <c r="D1576" s="57"/>
      <c r="E1576" s="57"/>
      <c r="F1576" s="57"/>
      <c r="G1576" s="57"/>
      <c r="H1576" s="57"/>
      <c r="I1576" s="57"/>
      <c r="J1576" s="57"/>
      <c r="K1576" s="57"/>
      <c r="L1576" s="57"/>
      <c r="M1576" s="57"/>
      <c r="O1576" s="69"/>
      <c r="P1576" s="57"/>
    </row>
    <row r="1577" spans="1:16" x14ac:dyDescent="0.2">
      <c r="A1577" s="57"/>
      <c r="B1577" s="69"/>
      <c r="C1577" s="57"/>
      <c r="D1577" s="57"/>
      <c r="E1577" s="57"/>
      <c r="F1577" s="57"/>
      <c r="G1577" s="57"/>
      <c r="H1577" s="57"/>
      <c r="I1577" s="57"/>
      <c r="J1577" s="57"/>
      <c r="K1577" s="57"/>
      <c r="L1577" s="57"/>
      <c r="M1577" s="57"/>
      <c r="O1577" s="69"/>
      <c r="P1577" s="57"/>
    </row>
    <row r="1578" spans="1:16" x14ac:dyDescent="0.2">
      <c r="A1578" s="57"/>
      <c r="B1578" s="69"/>
      <c r="C1578" s="57"/>
      <c r="D1578" s="57"/>
      <c r="E1578" s="57"/>
      <c r="F1578" s="57"/>
      <c r="G1578" s="57"/>
      <c r="H1578" s="57"/>
      <c r="I1578" s="57"/>
      <c r="J1578" s="57"/>
      <c r="K1578" s="57"/>
      <c r="L1578" s="57"/>
      <c r="M1578" s="57"/>
      <c r="O1578" s="69"/>
      <c r="P1578" s="57"/>
    </row>
    <row r="1579" spans="1:16" x14ac:dyDescent="0.2">
      <c r="A1579" s="57"/>
      <c r="B1579" s="69"/>
      <c r="C1579" s="57"/>
      <c r="D1579" s="57"/>
      <c r="E1579" s="57"/>
      <c r="F1579" s="57"/>
      <c r="G1579" s="57"/>
      <c r="H1579" s="57"/>
      <c r="I1579" s="57"/>
      <c r="J1579" s="57"/>
      <c r="K1579" s="57"/>
      <c r="L1579" s="57"/>
      <c r="M1579" s="57"/>
      <c r="O1579" s="69"/>
      <c r="P1579" s="57"/>
    </row>
    <row r="1580" spans="1:16" x14ac:dyDescent="0.2">
      <c r="A1580" s="57"/>
      <c r="B1580" s="69"/>
      <c r="C1580" s="57"/>
      <c r="D1580" s="57"/>
      <c r="E1580" s="57"/>
      <c r="F1580" s="57"/>
      <c r="G1580" s="57"/>
      <c r="H1580" s="57"/>
      <c r="I1580" s="57"/>
      <c r="J1580" s="57"/>
      <c r="K1580" s="57"/>
      <c r="L1580" s="57"/>
      <c r="M1580" s="57"/>
      <c r="O1580" s="69"/>
      <c r="P1580" s="57"/>
    </row>
    <row r="1581" spans="1:16" x14ac:dyDescent="0.2">
      <c r="A1581" s="57"/>
      <c r="B1581" s="69"/>
      <c r="C1581" s="57"/>
      <c r="D1581" s="57"/>
      <c r="E1581" s="57"/>
      <c r="F1581" s="57"/>
      <c r="G1581" s="57"/>
      <c r="H1581" s="57"/>
      <c r="I1581" s="57"/>
      <c r="J1581" s="57"/>
      <c r="K1581" s="57"/>
      <c r="L1581" s="57"/>
      <c r="M1581" s="57"/>
      <c r="O1581" s="69"/>
      <c r="P1581" s="57"/>
    </row>
    <row r="1582" spans="1:16" x14ac:dyDescent="0.2">
      <c r="A1582" s="57"/>
      <c r="B1582" s="69"/>
      <c r="C1582" s="57"/>
      <c r="D1582" s="57"/>
      <c r="E1582" s="57"/>
      <c r="F1582" s="57"/>
      <c r="G1582" s="57"/>
      <c r="H1582" s="57"/>
      <c r="I1582" s="57"/>
      <c r="J1582" s="57"/>
      <c r="K1582" s="57"/>
      <c r="L1582" s="57"/>
      <c r="M1582" s="57"/>
      <c r="O1582" s="69"/>
      <c r="P1582" s="57"/>
    </row>
    <row r="1583" spans="1:16" x14ac:dyDescent="0.2">
      <c r="A1583" s="57"/>
      <c r="B1583" s="69"/>
      <c r="C1583" s="57"/>
      <c r="D1583" s="57"/>
      <c r="E1583" s="57"/>
      <c r="F1583" s="57"/>
      <c r="G1583" s="57"/>
      <c r="H1583" s="57"/>
      <c r="I1583" s="57"/>
      <c r="J1583" s="57"/>
      <c r="K1583" s="57"/>
      <c r="L1583" s="57"/>
      <c r="M1583" s="57"/>
      <c r="O1583" s="69"/>
      <c r="P1583" s="57"/>
    </row>
    <row r="1584" spans="1:16" x14ac:dyDescent="0.2">
      <c r="A1584" s="57"/>
      <c r="B1584" s="69"/>
      <c r="C1584" s="57"/>
      <c r="D1584" s="57"/>
      <c r="E1584" s="57"/>
      <c r="F1584" s="57"/>
      <c r="G1584" s="57"/>
      <c r="H1584" s="57"/>
      <c r="I1584" s="57"/>
      <c r="J1584" s="57"/>
      <c r="K1584" s="57"/>
      <c r="L1584" s="57"/>
      <c r="M1584" s="57"/>
      <c r="O1584" s="69"/>
      <c r="P1584" s="57"/>
    </row>
    <row r="1585" spans="1:16" x14ac:dyDescent="0.2">
      <c r="A1585" s="57"/>
      <c r="B1585" s="69"/>
      <c r="C1585" s="57"/>
      <c r="D1585" s="57"/>
      <c r="E1585" s="57"/>
      <c r="F1585" s="57"/>
      <c r="G1585" s="57"/>
      <c r="H1585" s="57"/>
      <c r="I1585" s="57"/>
      <c r="J1585" s="57"/>
      <c r="K1585" s="57"/>
      <c r="L1585" s="57"/>
      <c r="M1585" s="57"/>
      <c r="O1585" s="69"/>
      <c r="P1585" s="57"/>
    </row>
    <row r="1586" spans="1:16" x14ac:dyDescent="0.2">
      <c r="A1586" s="57"/>
      <c r="B1586" s="69"/>
      <c r="C1586" s="57"/>
      <c r="D1586" s="57"/>
      <c r="E1586" s="57"/>
      <c r="F1586" s="57"/>
      <c r="G1586" s="57"/>
      <c r="H1586" s="57"/>
      <c r="I1586" s="57"/>
      <c r="J1586" s="57"/>
      <c r="K1586" s="57"/>
      <c r="L1586" s="57"/>
      <c r="M1586" s="57"/>
      <c r="O1586" s="69"/>
      <c r="P1586" s="57"/>
    </row>
    <row r="1587" spans="1:16" x14ac:dyDescent="0.2">
      <c r="A1587" s="57"/>
      <c r="B1587" s="69"/>
      <c r="C1587" s="57"/>
      <c r="D1587" s="57"/>
      <c r="E1587" s="57"/>
      <c r="F1587" s="57"/>
      <c r="G1587" s="57"/>
      <c r="H1587" s="57"/>
      <c r="I1587" s="57"/>
      <c r="J1587" s="57"/>
      <c r="K1587" s="57"/>
      <c r="L1587" s="57"/>
      <c r="M1587" s="57"/>
      <c r="O1587" s="69"/>
      <c r="P1587" s="57"/>
    </row>
    <row r="1588" spans="1:16" x14ac:dyDescent="0.2">
      <c r="A1588" s="57"/>
      <c r="B1588" s="69"/>
      <c r="C1588" s="57"/>
      <c r="D1588" s="57"/>
      <c r="E1588" s="57"/>
      <c r="F1588" s="57"/>
      <c r="G1588" s="57"/>
      <c r="H1588" s="57"/>
      <c r="I1588" s="57"/>
      <c r="J1588" s="57"/>
      <c r="K1588" s="57"/>
      <c r="L1588" s="57"/>
      <c r="M1588" s="57"/>
      <c r="O1588" s="69"/>
      <c r="P1588" s="57"/>
    </row>
    <row r="1589" spans="1:16" x14ac:dyDescent="0.2">
      <c r="A1589" s="57"/>
      <c r="B1589" s="69"/>
      <c r="C1589" s="57"/>
      <c r="D1589" s="57"/>
      <c r="E1589" s="57"/>
      <c r="F1589" s="57"/>
      <c r="G1589" s="57"/>
      <c r="H1589" s="57"/>
      <c r="I1589" s="57"/>
      <c r="J1589" s="57"/>
      <c r="K1589" s="57"/>
      <c r="L1589" s="57"/>
      <c r="M1589" s="57"/>
      <c r="O1589" s="69"/>
      <c r="P1589" s="57"/>
    </row>
    <row r="1590" spans="1:16" x14ac:dyDescent="0.2">
      <c r="A1590" s="57"/>
      <c r="B1590" s="69"/>
      <c r="C1590" s="57"/>
      <c r="D1590" s="57"/>
      <c r="E1590" s="57"/>
      <c r="F1590" s="57"/>
      <c r="G1590" s="57"/>
      <c r="H1590" s="57"/>
      <c r="I1590" s="57"/>
      <c r="J1590" s="57"/>
      <c r="K1590" s="57"/>
      <c r="L1590" s="57"/>
      <c r="M1590" s="57"/>
      <c r="O1590" s="69"/>
      <c r="P1590" s="57"/>
    </row>
    <row r="1591" spans="1:16" x14ac:dyDescent="0.2">
      <c r="A1591" s="57"/>
      <c r="B1591" s="69"/>
      <c r="C1591" s="57"/>
      <c r="D1591" s="57"/>
      <c r="E1591" s="57"/>
      <c r="F1591" s="57"/>
      <c r="G1591" s="57"/>
      <c r="H1591" s="57"/>
      <c r="I1591" s="57"/>
      <c r="J1591" s="57"/>
      <c r="K1591" s="57"/>
      <c r="L1591" s="57"/>
      <c r="M1591" s="57"/>
      <c r="O1591" s="69"/>
      <c r="P1591" s="57"/>
    </row>
    <row r="1592" spans="1:16" x14ac:dyDescent="0.2">
      <c r="A1592" s="57"/>
      <c r="B1592" s="69"/>
      <c r="C1592" s="57"/>
      <c r="D1592" s="57"/>
      <c r="E1592" s="57"/>
      <c r="F1592" s="57"/>
      <c r="G1592" s="57"/>
      <c r="H1592" s="57"/>
      <c r="I1592" s="57"/>
      <c r="J1592" s="57"/>
      <c r="K1592" s="57"/>
      <c r="L1592" s="57"/>
      <c r="M1592" s="57"/>
      <c r="O1592" s="69"/>
      <c r="P1592" s="57"/>
    </row>
    <row r="1593" spans="1:16" x14ac:dyDescent="0.2">
      <c r="A1593" s="57"/>
      <c r="B1593" s="69"/>
      <c r="C1593" s="57"/>
      <c r="D1593" s="57"/>
      <c r="E1593" s="57"/>
      <c r="F1593" s="57"/>
      <c r="G1593" s="57"/>
      <c r="H1593" s="57"/>
      <c r="I1593" s="57"/>
      <c r="J1593" s="57"/>
      <c r="K1593" s="57"/>
      <c r="L1593" s="57"/>
      <c r="M1593" s="57"/>
      <c r="O1593" s="69"/>
      <c r="P1593" s="57"/>
    </row>
    <row r="1594" spans="1:16" x14ac:dyDescent="0.2">
      <c r="A1594" s="57"/>
      <c r="B1594" s="69"/>
      <c r="C1594" s="57"/>
      <c r="D1594" s="57"/>
      <c r="E1594" s="57"/>
      <c r="F1594" s="57"/>
      <c r="G1594" s="57"/>
      <c r="H1594" s="57"/>
      <c r="I1594" s="57"/>
      <c r="J1594" s="57"/>
      <c r="K1594" s="57"/>
      <c r="L1594" s="57"/>
      <c r="M1594" s="57"/>
      <c r="O1594" s="69"/>
      <c r="P1594" s="57"/>
    </row>
    <row r="1595" spans="1:16" x14ac:dyDescent="0.2">
      <c r="A1595" s="57"/>
      <c r="B1595" s="69"/>
      <c r="C1595" s="57"/>
      <c r="D1595" s="57"/>
      <c r="E1595" s="57"/>
      <c r="F1595" s="57"/>
      <c r="G1595" s="57"/>
      <c r="H1595" s="57"/>
      <c r="I1595" s="57"/>
      <c r="J1595" s="57"/>
      <c r="K1595" s="57"/>
      <c r="L1595" s="57"/>
      <c r="M1595" s="57"/>
      <c r="O1595" s="69"/>
      <c r="P1595" s="57"/>
    </row>
    <row r="1596" spans="1:16" x14ac:dyDescent="0.2">
      <c r="A1596" s="57"/>
      <c r="B1596" s="69"/>
      <c r="C1596" s="57"/>
      <c r="D1596" s="57"/>
      <c r="E1596" s="57"/>
      <c r="F1596" s="57"/>
      <c r="G1596" s="57"/>
      <c r="H1596" s="57"/>
      <c r="I1596" s="57"/>
      <c r="J1596" s="57"/>
      <c r="K1596" s="57"/>
      <c r="L1596" s="57"/>
      <c r="M1596" s="57"/>
      <c r="O1596" s="69"/>
      <c r="P1596" s="57"/>
    </row>
    <row r="1597" spans="1:16" x14ac:dyDescent="0.2">
      <c r="A1597" s="57"/>
      <c r="B1597" s="69"/>
      <c r="C1597" s="57"/>
      <c r="D1597" s="57"/>
      <c r="E1597" s="57"/>
      <c r="F1597" s="57"/>
      <c r="G1597" s="57"/>
      <c r="H1597" s="57"/>
      <c r="I1597" s="57"/>
      <c r="J1597" s="57"/>
      <c r="K1597" s="57"/>
      <c r="L1597" s="57"/>
      <c r="M1597" s="57"/>
      <c r="O1597" s="69"/>
      <c r="P1597" s="57"/>
    </row>
    <row r="1598" spans="1:16" x14ac:dyDescent="0.2">
      <c r="A1598" s="57"/>
      <c r="B1598" s="69"/>
      <c r="C1598" s="57"/>
      <c r="D1598" s="57"/>
      <c r="E1598" s="57"/>
      <c r="F1598" s="57"/>
      <c r="G1598" s="57"/>
      <c r="H1598" s="57"/>
      <c r="I1598" s="57"/>
      <c r="J1598" s="57"/>
      <c r="K1598" s="57"/>
      <c r="L1598" s="57"/>
      <c r="M1598" s="57"/>
      <c r="O1598" s="69"/>
      <c r="P1598" s="57"/>
    </row>
    <row r="1599" spans="1:16" x14ac:dyDescent="0.2">
      <c r="A1599" s="57"/>
      <c r="B1599" s="69"/>
      <c r="C1599" s="57"/>
      <c r="D1599" s="57"/>
      <c r="E1599" s="57"/>
      <c r="F1599" s="57"/>
      <c r="G1599" s="57"/>
      <c r="H1599" s="57"/>
      <c r="I1599" s="57"/>
      <c r="J1599" s="57"/>
      <c r="K1599" s="57"/>
      <c r="L1599" s="57"/>
      <c r="M1599" s="57"/>
      <c r="O1599" s="69"/>
      <c r="P1599" s="57"/>
    </row>
    <row r="1600" spans="1:16" x14ac:dyDescent="0.2">
      <c r="A1600" s="57"/>
      <c r="B1600" s="69"/>
      <c r="C1600" s="57"/>
      <c r="D1600" s="57"/>
      <c r="E1600" s="57"/>
      <c r="F1600" s="57"/>
      <c r="G1600" s="57"/>
      <c r="H1600" s="57"/>
      <c r="I1600" s="57"/>
      <c r="J1600" s="57"/>
      <c r="K1600" s="57"/>
      <c r="L1600" s="57"/>
      <c r="M1600" s="57"/>
      <c r="O1600" s="69"/>
      <c r="P1600" s="57"/>
    </row>
    <row r="1601" spans="1:16" x14ac:dyDescent="0.2">
      <c r="A1601" s="57"/>
      <c r="B1601" s="69"/>
      <c r="C1601" s="57"/>
      <c r="D1601" s="57"/>
      <c r="E1601" s="57"/>
      <c r="F1601" s="57"/>
      <c r="G1601" s="57"/>
      <c r="H1601" s="57"/>
      <c r="I1601" s="57"/>
      <c r="J1601" s="57"/>
      <c r="K1601" s="57"/>
      <c r="L1601" s="57"/>
      <c r="M1601" s="57"/>
      <c r="O1601" s="69"/>
      <c r="P1601" s="57"/>
    </row>
    <row r="1602" spans="1:16" x14ac:dyDescent="0.2">
      <c r="A1602" s="57"/>
      <c r="B1602" s="69"/>
      <c r="C1602" s="57"/>
      <c r="D1602" s="57"/>
      <c r="E1602" s="57"/>
      <c r="F1602" s="57"/>
      <c r="G1602" s="57"/>
      <c r="H1602" s="57"/>
      <c r="I1602" s="57"/>
      <c r="J1602" s="57"/>
      <c r="K1602" s="57"/>
      <c r="L1602" s="57"/>
      <c r="M1602" s="57"/>
      <c r="O1602" s="69"/>
      <c r="P1602" s="57"/>
    </row>
    <row r="1603" spans="1:16" x14ac:dyDescent="0.2">
      <c r="A1603" s="57"/>
      <c r="B1603" s="69"/>
      <c r="C1603" s="57"/>
      <c r="D1603" s="57"/>
      <c r="E1603" s="57"/>
      <c r="F1603" s="57"/>
      <c r="G1603" s="57"/>
      <c r="H1603" s="57"/>
      <c r="I1603" s="57"/>
      <c r="J1603" s="57"/>
      <c r="K1603" s="57"/>
      <c r="L1603" s="57"/>
      <c r="M1603" s="57"/>
      <c r="O1603" s="69"/>
      <c r="P1603" s="57"/>
    </row>
    <row r="1604" spans="1:16" x14ac:dyDescent="0.2">
      <c r="A1604" s="57"/>
      <c r="B1604" s="69"/>
      <c r="C1604" s="57"/>
      <c r="D1604" s="57"/>
      <c r="E1604" s="57"/>
      <c r="F1604" s="57"/>
      <c r="G1604" s="57"/>
      <c r="H1604" s="57"/>
      <c r="I1604" s="57"/>
      <c r="J1604" s="57"/>
      <c r="K1604" s="57"/>
      <c r="L1604" s="57"/>
      <c r="M1604" s="57"/>
      <c r="O1604" s="69"/>
      <c r="P1604" s="57"/>
    </row>
    <row r="1605" spans="1:16" x14ac:dyDescent="0.2">
      <c r="A1605" s="57"/>
      <c r="B1605" s="69"/>
      <c r="C1605" s="57"/>
      <c r="D1605" s="57"/>
      <c r="E1605" s="57"/>
      <c r="F1605" s="57"/>
      <c r="G1605" s="57"/>
      <c r="H1605" s="57"/>
      <c r="I1605" s="57"/>
      <c r="J1605" s="57"/>
      <c r="K1605" s="57"/>
      <c r="L1605" s="57"/>
      <c r="M1605" s="57"/>
      <c r="O1605" s="69"/>
      <c r="P1605" s="57"/>
    </row>
    <row r="1606" spans="1:16" x14ac:dyDescent="0.2">
      <c r="A1606" s="57"/>
      <c r="B1606" s="69"/>
      <c r="C1606" s="57"/>
      <c r="D1606" s="57"/>
      <c r="E1606" s="57"/>
      <c r="F1606" s="57"/>
      <c r="G1606" s="57"/>
      <c r="H1606" s="57"/>
      <c r="I1606" s="57"/>
      <c r="J1606" s="57"/>
      <c r="K1606" s="57"/>
      <c r="L1606" s="57"/>
      <c r="M1606" s="57"/>
      <c r="O1606" s="69"/>
      <c r="P1606" s="57"/>
    </row>
    <row r="1607" spans="1:16" x14ac:dyDescent="0.2">
      <c r="A1607" s="57"/>
      <c r="B1607" s="69"/>
      <c r="C1607" s="57"/>
      <c r="D1607" s="57"/>
      <c r="E1607" s="57"/>
      <c r="F1607" s="57"/>
      <c r="G1607" s="57"/>
      <c r="H1607" s="57"/>
      <c r="I1607" s="57"/>
      <c r="J1607" s="57"/>
      <c r="K1607" s="57"/>
      <c r="L1607" s="57"/>
      <c r="M1607" s="57"/>
      <c r="O1607" s="69"/>
      <c r="P1607" s="57"/>
    </row>
    <row r="1608" spans="1:16" x14ac:dyDescent="0.2">
      <c r="A1608" s="57"/>
      <c r="B1608" s="69"/>
      <c r="C1608" s="57"/>
      <c r="D1608" s="57"/>
      <c r="E1608" s="57"/>
      <c r="F1608" s="57"/>
      <c r="G1608" s="57"/>
      <c r="H1608" s="57"/>
      <c r="I1608" s="57"/>
      <c r="J1608" s="57"/>
      <c r="K1608" s="57"/>
      <c r="L1608" s="57"/>
      <c r="M1608" s="57"/>
      <c r="O1608" s="69"/>
      <c r="P1608" s="57"/>
    </row>
    <row r="1609" spans="1:16" x14ac:dyDescent="0.2">
      <c r="A1609" s="57"/>
      <c r="B1609" s="69"/>
      <c r="C1609" s="57"/>
      <c r="D1609" s="57"/>
      <c r="E1609" s="57"/>
      <c r="F1609" s="57"/>
      <c r="G1609" s="57"/>
      <c r="H1609" s="57"/>
      <c r="I1609" s="57"/>
      <c r="J1609" s="57"/>
      <c r="K1609" s="57"/>
      <c r="L1609" s="57"/>
      <c r="M1609" s="57"/>
      <c r="O1609" s="69"/>
      <c r="P1609" s="57"/>
    </row>
    <row r="1610" spans="1:16" x14ac:dyDescent="0.2">
      <c r="A1610" s="57"/>
      <c r="B1610" s="69"/>
      <c r="C1610" s="57"/>
      <c r="D1610" s="57"/>
      <c r="E1610" s="57"/>
      <c r="F1610" s="57"/>
      <c r="G1610" s="57"/>
      <c r="H1610" s="57"/>
      <c r="I1610" s="57"/>
      <c r="J1610" s="57"/>
      <c r="K1610" s="57"/>
      <c r="L1610" s="57"/>
      <c r="M1610" s="57"/>
      <c r="O1610" s="69"/>
      <c r="P1610" s="57"/>
    </row>
    <row r="1611" spans="1:16" x14ac:dyDescent="0.2">
      <c r="A1611" s="57"/>
      <c r="B1611" s="69"/>
      <c r="C1611" s="57"/>
      <c r="D1611" s="57"/>
      <c r="E1611" s="57"/>
      <c r="F1611" s="57"/>
      <c r="G1611" s="57"/>
      <c r="H1611" s="57"/>
      <c r="I1611" s="57"/>
      <c r="J1611" s="57"/>
      <c r="K1611" s="57"/>
      <c r="L1611" s="57"/>
      <c r="M1611" s="57"/>
      <c r="O1611" s="69"/>
      <c r="P1611" s="57"/>
    </row>
    <row r="1612" spans="1:16" x14ac:dyDescent="0.2">
      <c r="A1612" s="57"/>
      <c r="B1612" s="69"/>
      <c r="C1612" s="57"/>
      <c r="D1612" s="57"/>
      <c r="E1612" s="57"/>
      <c r="F1612" s="57"/>
      <c r="G1612" s="57"/>
      <c r="H1612" s="57"/>
      <c r="I1612" s="57"/>
      <c r="J1612" s="57"/>
      <c r="K1612" s="57"/>
      <c r="L1612" s="57"/>
      <c r="M1612" s="57"/>
      <c r="O1612" s="69"/>
      <c r="P1612" s="57"/>
    </row>
    <row r="1613" spans="1:16" x14ac:dyDescent="0.2">
      <c r="A1613" s="57"/>
      <c r="B1613" s="69"/>
      <c r="C1613" s="57"/>
      <c r="D1613" s="57"/>
      <c r="E1613" s="57"/>
      <c r="F1613" s="57"/>
      <c r="G1613" s="57"/>
      <c r="H1613" s="57"/>
      <c r="I1613" s="57"/>
      <c r="J1613" s="57"/>
      <c r="K1613" s="57"/>
      <c r="L1613" s="57"/>
      <c r="M1613" s="57"/>
      <c r="O1613" s="69"/>
      <c r="P1613" s="57"/>
    </row>
    <row r="1614" spans="1:16" x14ac:dyDescent="0.2">
      <c r="A1614" s="57"/>
      <c r="B1614" s="69"/>
      <c r="C1614" s="57"/>
      <c r="D1614" s="57"/>
      <c r="E1614" s="57"/>
      <c r="F1614" s="57"/>
      <c r="G1614" s="57"/>
      <c r="H1614" s="57"/>
      <c r="I1614" s="57"/>
      <c r="J1614" s="57"/>
      <c r="K1614" s="57"/>
      <c r="L1614" s="57"/>
      <c r="M1614" s="57"/>
      <c r="O1614" s="69"/>
      <c r="P1614" s="57"/>
    </row>
    <row r="1615" spans="1:16" x14ac:dyDescent="0.2">
      <c r="A1615" s="57"/>
      <c r="B1615" s="69"/>
      <c r="C1615" s="57"/>
      <c r="D1615" s="57"/>
      <c r="E1615" s="57"/>
      <c r="F1615" s="57"/>
      <c r="G1615" s="57"/>
      <c r="H1615" s="57"/>
      <c r="I1615" s="57"/>
      <c r="J1615" s="57"/>
      <c r="K1615" s="57"/>
      <c r="L1615" s="57"/>
      <c r="M1615" s="57"/>
      <c r="O1615" s="69"/>
      <c r="P1615" s="57"/>
    </row>
    <row r="1616" spans="1:16" x14ac:dyDescent="0.2">
      <c r="A1616" s="57"/>
      <c r="B1616" s="69"/>
      <c r="C1616" s="57"/>
      <c r="D1616" s="57"/>
      <c r="E1616" s="57"/>
      <c r="F1616" s="57"/>
      <c r="G1616" s="57"/>
      <c r="H1616" s="57"/>
      <c r="I1616" s="57"/>
      <c r="J1616" s="57"/>
      <c r="K1616" s="57"/>
      <c r="L1616" s="57"/>
      <c r="M1616" s="57"/>
      <c r="O1616" s="69"/>
      <c r="P1616" s="57"/>
    </row>
    <row r="1617" spans="1:16" x14ac:dyDescent="0.2">
      <c r="A1617" s="57"/>
      <c r="B1617" s="69"/>
      <c r="C1617" s="57"/>
      <c r="D1617" s="57"/>
      <c r="E1617" s="57"/>
      <c r="F1617" s="57"/>
      <c r="G1617" s="57"/>
      <c r="H1617" s="57"/>
      <c r="I1617" s="57"/>
      <c r="J1617" s="57"/>
      <c r="K1617" s="57"/>
      <c r="L1617" s="57"/>
      <c r="M1617" s="57"/>
      <c r="O1617" s="69"/>
      <c r="P1617" s="57"/>
    </row>
    <row r="1618" spans="1:16" x14ac:dyDescent="0.2">
      <c r="A1618" s="57"/>
      <c r="B1618" s="69"/>
      <c r="C1618" s="57"/>
      <c r="D1618" s="57"/>
      <c r="E1618" s="57"/>
      <c r="F1618" s="57"/>
      <c r="G1618" s="57"/>
      <c r="H1618" s="57"/>
      <c r="I1618" s="57"/>
      <c r="J1618" s="57"/>
      <c r="K1618" s="57"/>
      <c r="L1618" s="57"/>
      <c r="M1618" s="57"/>
      <c r="O1618" s="69"/>
      <c r="P1618" s="57"/>
    </row>
    <row r="1619" spans="1:16" x14ac:dyDescent="0.2">
      <c r="A1619" s="57"/>
      <c r="B1619" s="69"/>
      <c r="C1619" s="57"/>
      <c r="D1619" s="57"/>
      <c r="E1619" s="57"/>
      <c r="F1619" s="57"/>
      <c r="G1619" s="57"/>
      <c r="H1619" s="57"/>
      <c r="I1619" s="57"/>
      <c r="J1619" s="57"/>
      <c r="K1619" s="57"/>
      <c r="L1619" s="57"/>
      <c r="M1619" s="57"/>
      <c r="O1619" s="69"/>
      <c r="P1619" s="57"/>
    </row>
    <row r="1620" spans="1:16" x14ac:dyDescent="0.2">
      <c r="A1620" s="57"/>
      <c r="B1620" s="69"/>
      <c r="C1620" s="57"/>
      <c r="D1620" s="57"/>
      <c r="E1620" s="57"/>
      <c r="F1620" s="57"/>
      <c r="G1620" s="57"/>
      <c r="H1620" s="57"/>
      <c r="I1620" s="57"/>
      <c r="J1620" s="57"/>
      <c r="K1620" s="57"/>
      <c r="L1620" s="57"/>
      <c r="M1620" s="57"/>
      <c r="O1620" s="69"/>
      <c r="P1620" s="57"/>
    </row>
    <row r="1621" spans="1:16" x14ac:dyDescent="0.2">
      <c r="A1621" s="57"/>
      <c r="B1621" s="69"/>
      <c r="C1621" s="57"/>
      <c r="D1621" s="57"/>
      <c r="E1621" s="57"/>
      <c r="F1621" s="57"/>
      <c r="G1621" s="57"/>
      <c r="H1621" s="57"/>
      <c r="I1621" s="57"/>
      <c r="J1621" s="57"/>
      <c r="K1621" s="57"/>
      <c r="L1621" s="57"/>
      <c r="M1621" s="57"/>
      <c r="O1621" s="69"/>
      <c r="P1621" s="57"/>
    </row>
    <row r="1622" spans="1:16" x14ac:dyDescent="0.2">
      <c r="A1622" s="57"/>
      <c r="B1622" s="69"/>
      <c r="C1622" s="57"/>
      <c r="D1622" s="57"/>
      <c r="E1622" s="57"/>
      <c r="F1622" s="57"/>
      <c r="G1622" s="57"/>
      <c r="H1622" s="57"/>
      <c r="I1622" s="57"/>
      <c r="J1622" s="57"/>
      <c r="K1622" s="57"/>
      <c r="L1622" s="57"/>
      <c r="M1622" s="57"/>
      <c r="O1622" s="69"/>
      <c r="P1622" s="57"/>
    </row>
    <row r="1623" spans="1:16" x14ac:dyDescent="0.2">
      <c r="A1623" s="57"/>
      <c r="B1623" s="69"/>
      <c r="C1623" s="57"/>
      <c r="D1623" s="57"/>
      <c r="E1623" s="57"/>
      <c r="F1623" s="57"/>
      <c r="G1623" s="57"/>
      <c r="H1623" s="57"/>
      <c r="I1623" s="57"/>
      <c r="J1623" s="57"/>
      <c r="K1623" s="57"/>
      <c r="L1623" s="57"/>
      <c r="M1623" s="57"/>
      <c r="O1623" s="69"/>
      <c r="P1623" s="57"/>
    </row>
    <row r="1624" spans="1:16" x14ac:dyDescent="0.2">
      <c r="A1624" s="57"/>
      <c r="B1624" s="69"/>
      <c r="C1624" s="57"/>
      <c r="D1624" s="57"/>
      <c r="E1624" s="57"/>
      <c r="F1624" s="57"/>
      <c r="G1624" s="57"/>
      <c r="H1624" s="57"/>
      <c r="I1624" s="57"/>
      <c r="J1624" s="57"/>
      <c r="K1624" s="57"/>
      <c r="L1624" s="57"/>
      <c r="M1624" s="57"/>
      <c r="O1624" s="69"/>
      <c r="P1624" s="57"/>
    </row>
    <row r="1625" spans="1:16" x14ac:dyDescent="0.2">
      <c r="A1625" s="57"/>
      <c r="B1625" s="69"/>
      <c r="C1625" s="57"/>
      <c r="D1625" s="57"/>
      <c r="E1625" s="57"/>
      <c r="F1625" s="57"/>
      <c r="G1625" s="57"/>
      <c r="H1625" s="57"/>
      <c r="I1625" s="57"/>
      <c r="J1625" s="57"/>
      <c r="K1625" s="57"/>
      <c r="L1625" s="57"/>
      <c r="M1625" s="57"/>
      <c r="O1625" s="69"/>
      <c r="P1625" s="57"/>
    </row>
    <row r="1626" spans="1:16" x14ac:dyDescent="0.2">
      <c r="A1626" s="57"/>
      <c r="B1626" s="69"/>
      <c r="C1626" s="57"/>
      <c r="D1626" s="57"/>
      <c r="E1626" s="57"/>
      <c r="F1626" s="57"/>
      <c r="G1626" s="57"/>
      <c r="H1626" s="57"/>
      <c r="I1626" s="57"/>
      <c r="J1626" s="57"/>
      <c r="K1626" s="57"/>
      <c r="L1626" s="57"/>
      <c r="M1626" s="57"/>
      <c r="O1626" s="69"/>
      <c r="P1626" s="57"/>
    </row>
    <row r="1627" spans="1:16" x14ac:dyDescent="0.2">
      <c r="A1627" s="57"/>
      <c r="B1627" s="69"/>
      <c r="C1627" s="57"/>
      <c r="D1627" s="57"/>
      <c r="E1627" s="57"/>
      <c r="F1627" s="57"/>
      <c r="G1627" s="57"/>
      <c r="H1627" s="57"/>
      <c r="I1627" s="57"/>
      <c r="J1627" s="57"/>
      <c r="K1627" s="57"/>
      <c r="L1627" s="57"/>
      <c r="M1627" s="57"/>
      <c r="O1627" s="69"/>
      <c r="P1627" s="57"/>
    </row>
    <row r="1628" spans="1:16" x14ac:dyDescent="0.2">
      <c r="A1628" s="57"/>
      <c r="B1628" s="69"/>
      <c r="C1628" s="57"/>
      <c r="D1628" s="57"/>
      <c r="E1628" s="57"/>
      <c r="F1628" s="57"/>
      <c r="G1628" s="57"/>
      <c r="H1628" s="57"/>
      <c r="I1628" s="57"/>
      <c r="J1628" s="57"/>
      <c r="K1628" s="57"/>
      <c r="L1628" s="57"/>
      <c r="M1628" s="57"/>
      <c r="O1628" s="69"/>
      <c r="P1628" s="57"/>
    </row>
    <row r="1629" spans="1:16" x14ac:dyDescent="0.2">
      <c r="A1629" s="57"/>
      <c r="B1629" s="69"/>
      <c r="C1629" s="57"/>
      <c r="D1629" s="57"/>
      <c r="E1629" s="57"/>
      <c r="F1629" s="57"/>
      <c r="G1629" s="57"/>
      <c r="H1629" s="57"/>
      <c r="I1629" s="57"/>
      <c r="J1629" s="57"/>
      <c r="K1629" s="57"/>
      <c r="L1629" s="57"/>
      <c r="M1629" s="57"/>
      <c r="O1629" s="69"/>
      <c r="P1629" s="57"/>
    </row>
    <row r="1630" spans="1:16" x14ac:dyDescent="0.2">
      <c r="A1630" s="57"/>
      <c r="B1630" s="69"/>
      <c r="C1630" s="57"/>
      <c r="D1630" s="57"/>
      <c r="E1630" s="57"/>
      <c r="F1630" s="57"/>
      <c r="G1630" s="57"/>
      <c r="H1630" s="57"/>
      <c r="I1630" s="57"/>
      <c r="J1630" s="57"/>
      <c r="K1630" s="57"/>
      <c r="L1630" s="57"/>
      <c r="M1630" s="57"/>
      <c r="O1630" s="69"/>
      <c r="P1630" s="57"/>
    </row>
    <row r="1631" spans="1:16" x14ac:dyDescent="0.2">
      <c r="A1631" s="57"/>
      <c r="B1631" s="69"/>
      <c r="C1631" s="57"/>
      <c r="D1631" s="57"/>
      <c r="E1631" s="57"/>
      <c r="F1631" s="57"/>
      <c r="G1631" s="57"/>
      <c r="H1631" s="57"/>
      <c r="I1631" s="57"/>
      <c r="J1631" s="57"/>
      <c r="K1631" s="57"/>
      <c r="L1631" s="57"/>
      <c r="M1631" s="57"/>
      <c r="O1631" s="69"/>
      <c r="P1631" s="57"/>
    </row>
    <row r="1632" spans="1:16" x14ac:dyDescent="0.2">
      <c r="A1632" s="57"/>
      <c r="B1632" s="69"/>
      <c r="C1632" s="57"/>
      <c r="D1632" s="57"/>
      <c r="E1632" s="57"/>
      <c r="F1632" s="57"/>
      <c r="G1632" s="57"/>
      <c r="H1632" s="57"/>
      <c r="I1632" s="57"/>
      <c r="J1632" s="57"/>
      <c r="K1632" s="57"/>
      <c r="L1632" s="57"/>
      <c r="M1632" s="57"/>
      <c r="O1632" s="69"/>
      <c r="P1632" s="57"/>
    </row>
    <row r="1633" spans="1:16" x14ac:dyDescent="0.2">
      <c r="A1633" s="57"/>
      <c r="B1633" s="69"/>
      <c r="C1633" s="57"/>
      <c r="D1633" s="57"/>
      <c r="E1633" s="57"/>
      <c r="F1633" s="57"/>
      <c r="G1633" s="57"/>
      <c r="H1633" s="57"/>
      <c r="I1633" s="57"/>
      <c r="J1633" s="57"/>
      <c r="K1633" s="57"/>
      <c r="L1633" s="57"/>
      <c r="M1633" s="57"/>
      <c r="O1633" s="69"/>
      <c r="P1633" s="57"/>
    </row>
    <row r="1634" spans="1:16" x14ac:dyDescent="0.2">
      <c r="A1634" s="57"/>
      <c r="B1634" s="69"/>
      <c r="C1634" s="57"/>
      <c r="D1634" s="57"/>
      <c r="E1634" s="57"/>
      <c r="F1634" s="57"/>
      <c r="G1634" s="57"/>
      <c r="H1634" s="57"/>
      <c r="I1634" s="57"/>
      <c r="J1634" s="57"/>
      <c r="K1634" s="57"/>
      <c r="L1634" s="57"/>
      <c r="M1634" s="57"/>
      <c r="O1634" s="69"/>
      <c r="P1634" s="57"/>
    </row>
    <row r="1635" spans="1:16" x14ac:dyDescent="0.2">
      <c r="A1635" s="57"/>
      <c r="B1635" s="69"/>
      <c r="C1635" s="57"/>
      <c r="D1635" s="57"/>
      <c r="E1635" s="57"/>
      <c r="F1635" s="57"/>
      <c r="G1635" s="57"/>
      <c r="H1635" s="57"/>
      <c r="I1635" s="57"/>
      <c r="J1635" s="57"/>
      <c r="K1635" s="57"/>
      <c r="L1635" s="57"/>
      <c r="M1635" s="57"/>
      <c r="O1635" s="69"/>
      <c r="P1635" s="57"/>
    </row>
    <row r="1636" spans="1:16" x14ac:dyDescent="0.2">
      <c r="A1636" s="57"/>
      <c r="B1636" s="69"/>
      <c r="C1636" s="57"/>
      <c r="D1636" s="57"/>
      <c r="E1636" s="57"/>
      <c r="F1636" s="57"/>
      <c r="G1636" s="57"/>
      <c r="H1636" s="57"/>
      <c r="I1636" s="57"/>
      <c r="J1636" s="57"/>
      <c r="K1636" s="57"/>
      <c r="L1636" s="57"/>
      <c r="M1636" s="57"/>
      <c r="O1636" s="69"/>
      <c r="P1636" s="57"/>
    </row>
    <row r="1637" spans="1:16" x14ac:dyDescent="0.2">
      <c r="A1637" s="57"/>
      <c r="B1637" s="69"/>
      <c r="C1637" s="57"/>
      <c r="D1637" s="57"/>
      <c r="E1637" s="57"/>
      <c r="F1637" s="57"/>
      <c r="G1637" s="57"/>
      <c r="H1637" s="57"/>
      <c r="I1637" s="57"/>
      <c r="J1637" s="57"/>
      <c r="K1637" s="57"/>
      <c r="L1637" s="57"/>
      <c r="M1637" s="57"/>
      <c r="O1637" s="69"/>
      <c r="P1637" s="57"/>
    </row>
    <row r="1638" spans="1:16" x14ac:dyDescent="0.2">
      <c r="A1638" s="57"/>
      <c r="B1638" s="69"/>
      <c r="C1638" s="57"/>
      <c r="D1638" s="57"/>
      <c r="E1638" s="57"/>
      <c r="F1638" s="57"/>
      <c r="G1638" s="57"/>
      <c r="H1638" s="57"/>
      <c r="I1638" s="57"/>
      <c r="J1638" s="57"/>
      <c r="K1638" s="57"/>
      <c r="L1638" s="57"/>
      <c r="M1638" s="57"/>
      <c r="O1638" s="69"/>
      <c r="P1638" s="57"/>
    </row>
    <row r="1639" spans="1:16" x14ac:dyDescent="0.2">
      <c r="A1639" s="57"/>
      <c r="B1639" s="69"/>
      <c r="C1639" s="57"/>
      <c r="D1639" s="57"/>
      <c r="E1639" s="57"/>
      <c r="F1639" s="57"/>
      <c r="G1639" s="57"/>
      <c r="H1639" s="57"/>
      <c r="I1639" s="57"/>
      <c r="J1639" s="57"/>
      <c r="K1639" s="57"/>
      <c r="L1639" s="57"/>
      <c r="M1639" s="57"/>
      <c r="O1639" s="69"/>
      <c r="P1639" s="57"/>
    </row>
    <row r="1640" spans="1:16" x14ac:dyDescent="0.2">
      <c r="A1640" s="57"/>
      <c r="B1640" s="69"/>
      <c r="C1640" s="57"/>
      <c r="D1640" s="57"/>
      <c r="E1640" s="57"/>
      <c r="F1640" s="57"/>
      <c r="G1640" s="57"/>
      <c r="H1640" s="57"/>
      <c r="I1640" s="57"/>
      <c r="J1640" s="57"/>
      <c r="K1640" s="57"/>
      <c r="L1640" s="57"/>
      <c r="M1640" s="57"/>
      <c r="O1640" s="69"/>
      <c r="P1640" s="57"/>
    </row>
    <row r="1641" spans="1:16" x14ac:dyDescent="0.2">
      <c r="A1641" s="57"/>
      <c r="B1641" s="69"/>
      <c r="C1641" s="57"/>
      <c r="D1641" s="57"/>
      <c r="E1641" s="57"/>
      <c r="F1641" s="57"/>
      <c r="G1641" s="57"/>
      <c r="H1641" s="57"/>
      <c r="I1641" s="57"/>
      <c r="J1641" s="57"/>
      <c r="K1641" s="57"/>
      <c r="L1641" s="57"/>
      <c r="M1641" s="57"/>
      <c r="O1641" s="69"/>
      <c r="P1641" s="57"/>
    </row>
    <row r="1642" spans="1:16" x14ac:dyDescent="0.2">
      <c r="A1642" s="57"/>
      <c r="B1642" s="69"/>
      <c r="C1642" s="57"/>
      <c r="D1642" s="57"/>
      <c r="E1642" s="57"/>
      <c r="F1642" s="57"/>
      <c r="G1642" s="57"/>
      <c r="H1642" s="57"/>
      <c r="I1642" s="57"/>
      <c r="J1642" s="57"/>
      <c r="K1642" s="57"/>
      <c r="L1642" s="57"/>
      <c r="M1642" s="57"/>
      <c r="O1642" s="69"/>
      <c r="P1642" s="57"/>
    </row>
    <row r="1643" spans="1:16" x14ac:dyDescent="0.2">
      <c r="A1643" s="57"/>
      <c r="B1643" s="69"/>
      <c r="C1643" s="57"/>
      <c r="D1643" s="57"/>
      <c r="E1643" s="57"/>
      <c r="F1643" s="57"/>
      <c r="G1643" s="57"/>
      <c r="H1643" s="57"/>
      <c r="I1643" s="57"/>
      <c r="J1643" s="57"/>
      <c r="K1643" s="57"/>
      <c r="L1643" s="57"/>
      <c r="M1643" s="57"/>
      <c r="O1643" s="69"/>
      <c r="P1643" s="57"/>
    </row>
    <row r="1644" spans="1:16" x14ac:dyDescent="0.2">
      <c r="A1644" s="57"/>
      <c r="B1644" s="69"/>
      <c r="C1644" s="57"/>
      <c r="D1644" s="57"/>
      <c r="E1644" s="57"/>
      <c r="F1644" s="57"/>
      <c r="G1644" s="57"/>
      <c r="H1644" s="57"/>
      <c r="I1644" s="57"/>
      <c r="J1644" s="57"/>
      <c r="K1644" s="57"/>
      <c r="L1644" s="57"/>
      <c r="M1644" s="57"/>
      <c r="O1644" s="69"/>
      <c r="P1644" s="57"/>
    </row>
    <row r="1645" spans="1:16" x14ac:dyDescent="0.2">
      <c r="A1645" s="57"/>
      <c r="B1645" s="69"/>
      <c r="C1645" s="57"/>
      <c r="D1645" s="57"/>
      <c r="E1645" s="57"/>
      <c r="F1645" s="57"/>
      <c r="G1645" s="57"/>
      <c r="H1645" s="57"/>
      <c r="I1645" s="57"/>
      <c r="J1645" s="57"/>
      <c r="K1645" s="57"/>
      <c r="L1645" s="57"/>
      <c r="M1645" s="57"/>
      <c r="O1645" s="69"/>
      <c r="P1645" s="57"/>
    </row>
    <row r="1646" spans="1:16" x14ac:dyDescent="0.2">
      <c r="A1646" s="57"/>
      <c r="B1646" s="69"/>
      <c r="C1646" s="57"/>
      <c r="D1646" s="57"/>
      <c r="E1646" s="57"/>
      <c r="F1646" s="57"/>
      <c r="G1646" s="57"/>
      <c r="H1646" s="57"/>
      <c r="I1646" s="57"/>
      <c r="J1646" s="57"/>
      <c r="K1646" s="57"/>
      <c r="L1646" s="57"/>
      <c r="M1646" s="57"/>
      <c r="O1646" s="69"/>
      <c r="P1646" s="57"/>
    </row>
    <row r="1647" spans="1:16" x14ac:dyDescent="0.2">
      <c r="A1647" s="57"/>
      <c r="B1647" s="69"/>
      <c r="C1647" s="57"/>
      <c r="D1647" s="57"/>
      <c r="E1647" s="57"/>
      <c r="F1647" s="57"/>
      <c r="G1647" s="57"/>
      <c r="H1647" s="57"/>
      <c r="I1647" s="57"/>
      <c r="J1647" s="57"/>
      <c r="K1647" s="57"/>
      <c r="L1647" s="57"/>
      <c r="M1647" s="57"/>
      <c r="O1647" s="69"/>
      <c r="P1647" s="57"/>
    </row>
    <row r="1648" spans="1:16" x14ac:dyDescent="0.2">
      <c r="A1648" s="57"/>
      <c r="B1648" s="69"/>
      <c r="C1648" s="57"/>
      <c r="D1648" s="57"/>
      <c r="E1648" s="57"/>
      <c r="F1648" s="57"/>
      <c r="G1648" s="57"/>
      <c r="H1648" s="57"/>
      <c r="I1648" s="57"/>
      <c r="J1648" s="57"/>
      <c r="K1648" s="57"/>
      <c r="L1648" s="57"/>
      <c r="M1648" s="57"/>
      <c r="O1648" s="69"/>
      <c r="P1648" s="57"/>
    </row>
    <row r="1649" spans="1:16" x14ac:dyDescent="0.2">
      <c r="A1649" s="57"/>
      <c r="B1649" s="69"/>
      <c r="C1649" s="57"/>
      <c r="D1649" s="57"/>
      <c r="E1649" s="57"/>
      <c r="F1649" s="57"/>
      <c r="G1649" s="57"/>
      <c r="H1649" s="57"/>
      <c r="I1649" s="57"/>
      <c r="J1649" s="57"/>
      <c r="K1649" s="57"/>
      <c r="L1649" s="57"/>
      <c r="M1649" s="57"/>
      <c r="O1649" s="69"/>
      <c r="P1649" s="57"/>
    </row>
    <row r="1650" spans="1:16" x14ac:dyDescent="0.2">
      <c r="A1650" s="57"/>
      <c r="B1650" s="69"/>
      <c r="C1650" s="57"/>
      <c r="D1650" s="57"/>
      <c r="E1650" s="57"/>
      <c r="F1650" s="57"/>
      <c r="G1650" s="57"/>
      <c r="H1650" s="57"/>
      <c r="I1650" s="57"/>
      <c r="J1650" s="57"/>
      <c r="K1650" s="57"/>
      <c r="L1650" s="57"/>
      <c r="M1650" s="57"/>
      <c r="O1650" s="69"/>
      <c r="P1650" s="57"/>
    </row>
    <row r="1651" spans="1:16" x14ac:dyDescent="0.2">
      <c r="A1651" s="57"/>
      <c r="B1651" s="69"/>
      <c r="C1651" s="57"/>
      <c r="D1651" s="57"/>
      <c r="E1651" s="57"/>
      <c r="F1651" s="57"/>
      <c r="G1651" s="57"/>
      <c r="H1651" s="57"/>
      <c r="I1651" s="57"/>
      <c r="J1651" s="57"/>
      <c r="K1651" s="57"/>
      <c r="L1651" s="57"/>
      <c r="M1651" s="57"/>
      <c r="O1651" s="69"/>
      <c r="P1651" s="57"/>
    </row>
    <row r="1652" spans="1:16" x14ac:dyDescent="0.2">
      <c r="A1652" s="57"/>
      <c r="B1652" s="69"/>
      <c r="C1652" s="57"/>
      <c r="D1652" s="57"/>
      <c r="E1652" s="57"/>
      <c r="F1652" s="57"/>
      <c r="G1652" s="57"/>
      <c r="H1652" s="57"/>
      <c r="I1652" s="57"/>
      <c r="J1652" s="57"/>
      <c r="K1652" s="57"/>
      <c r="L1652" s="57"/>
      <c r="M1652" s="57"/>
      <c r="O1652" s="69"/>
      <c r="P1652" s="57"/>
    </row>
    <row r="1653" spans="1:16" x14ac:dyDescent="0.2">
      <c r="A1653" s="57"/>
      <c r="B1653" s="69"/>
      <c r="C1653" s="57"/>
      <c r="D1653" s="57"/>
      <c r="E1653" s="57"/>
      <c r="F1653" s="57"/>
      <c r="G1653" s="57"/>
      <c r="H1653" s="57"/>
      <c r="I1653" s="57"/>
      <c r="J1653" s="57"/>
      <c r="K1653" s="57"/>
      <c r="L1653" s="57"/>
      <c r="M1653" s="57"/>
      <c r="O1653" s="69"/>
      <c r="P1653" s="57"/>
    </row>
    <row r="1654" spans="1:16" x14ac:dyDescent="0.2">
      <c r="A1654" s="57"/>
      <c r="B1654" s="69"/>
      <c r="C1654" s="57"/>
      <c r="D1654" s="57"/>
      <c r="E1654" s="57"/>
      <c r="F1654" s="57"/>
      <c r="G1654" s="57"/>
      <c r="H1654" s="57"/>
      <c r="I1654" s="57"/>
      <c r="J1654" s="57"/>
      <c r="K1654" s="57"/>
      <c r="L1654" s="57"/>
      <c r="M1654" s="57"/>
      <c r="O1654" s="69"/>
      <c r="P1654" s="57"/>
    </row>
    <row r="1655" spans="1:16" x14ac:dyDescent="0.2">
      <c r="A1655" s="57"/>
      <c r="B1655" s="69"/>
      <c r="C1655" s="57"/>
      <c r="D1655" s="57"/>
      <c r="E1655" s="57"/>
      <c r="F1655" s="57"/>
      <c r="G1655" s="57"/>
      <c r="H1655" s="57"/>
      <c r="I1655" s="57"/>
      <c r="J1655" s="57"/>
      <c r="K1655" s="57"/>
      <c r="L1655" s="57"/>
      <c r="M1655" s="57"/>
      <c r="O1655" s="69"/>
      <c r="P1655" s="57"/>
    </row>
    <row r="1656" spans="1:16" x14ac:dyDescent="0.2">
      <c r="A1656" s="57"/>
      <c r="B1656" s="69"/>
      <c r="C1656" s="57"/>
      <c r="D1656" s="57"/>
      <c r="E1656" s="57"/>
      <c r="F1656" s="57"/>
      <c r="G1656" s="57"/>
      <c r="H1656" s="57"/>
      <c r="I1656" s="57"/>
      <c r="J1656" s="57"/>
      <c r="K1656" s="57"/>
      <c r="L1656" s="57"/>
      <c r="M1656" s="57"/>
      <c r="O1656" s="69"/>
      <c r="P1656" s="57"/>
    </row>
    <row r="1657" spans="1:16" x14ac:dyDescent="0.2">
      <c r="A1657" s="57"/>
      <c r="B1657" s="69"/>
      <c r="C1657" s="57"/>
      <c r="D1657" s="57"/>
      <c r="E1657" s="57"/>
      <c r="F1657" s="57"/>
      <c r="G1657" s="57"/>
      <c r="H1657" s="57"/>
      <c r="I1657" s="57"/>
      <c r="J1657" s="57"/>
      <c r="K1657" s="57"/>
      <c r="L1657" s="57"/>
      <c r="M1657" s="57"/>
      <c r="O1657" s="69"/>
      <c r="P1657" s="57"/>
    </row>
    <row r="1658" spans="1:16" x14ac:dyDescent="0.2">
      <c r="A1658" s="57"/>
      <c r="B1658" s="69"/>
      <c r="C1658" s="57"/>
      <c r="D1658" s="57"/>
      <c r="E1658" s="57"/>
      <c r="F1658" s="57"/>
      <c r="G1658" s="57"/>
      <c r="H1658" s="57"/>
      <c r="I1658" s="57"/>
      <c r="J1658" s="57"/>
      <c r="K1658" s="57"/>
      <c r="L1658" s="57"/>
      <c r="M1658" s="57"/>
      <c r="O1658" s="69"/>
      <c r="P1658" s="57"/>
    </row>
    <row r="1659" spans="1:16" x14ac:dyDescent="0.2">
      <c r="A1659" s="57"/>
      <c r="B1659" s="69"/>
      <c r="C1659" s="57"/>
      <c r="D1659" s="57"/>
      <c r="E1659" s="57"/>
      <c r="F1659" s="57"/>
      <c r="G1659" s="57"/>
      <c r="H1659" s="57"/>
      <c r="I1659" s="57"/>
      <c r="J1659" s="57"/>
      <c r="K1659" s="57"/>
      <c r="L1659" s="57"/>
      <c r="M1659" s="57"/>
      <c r="O1659" s="69"/>
      <c r="P1659" s="57"/>
    </row>
    <row r="1660" spans="1:16" x14ac:dyDescent="0.2">
      <c r="A1660" s="57"/>
      <c r="B1660" s="69"/>
      <c r="C1660" s="57"/>
      <c r="D1660" s="57"/>
      <c r="E1660" s="57"/>
      <c r="F1660" s="57"/>
      <c r="G1660" s="57"/>
      <c r="H1660" s="57"/>
      <c r="I1660" s="57"/>
      <c r="J1660" s="57"/>
      <c r="K1660" s="57"/>
      <c r="L1660" s="57"/>
      <c r="M1660" s="57"/>
      <c r="O1660" s="69"/>
      <c r="P1660" s="57"/>
    </row>
    <row r="1661" spans="1:16" x14ac:dyDescent="0.2">
      <c r="A1661" s="57"/>
      <c r="B1661" s="69"/>
      <c r="C1661" s="57"/>
      <c r="D1661" s="57"/>
      <c r="E1661" s="57"/>
      <c r="F1661" s="57"/>
      <c r="G1661" s="57"/>
      <c r="H1661" s="57"/>
      <c r="I1661" s="57"/>
      <c r="J1661" s="57"/>
      <c r="K1661" s="57"/>
      <c r="L1661" s="57"/>
      <c r="M1661" s="57"/>
      <c r="O1661" s="69"/>
      <c r="P1661" s="57"/>
    </row>
    <row r="1662" spans="1:16" x14ac:dyDescent="0.2">
      <c r="A1662" s="57"/>
      <c r="B1662" s="69"/>
      <c r="C1662" s="57"/>
      <c r="D1662" s="57"/>
      <c r="E1662" s="57"/>
      <c r="F1662" s="57"/>
      <c r="G1662" s="57"/>
      <c r="H1662" s="57"/>
      <c r="I1662" s="57"/>
      <c r="J1662" s="57"/>
      <c r="K1662" s="57"/>
      <c r="L1662" s="57"/>
      <c r="M1662" s="57"/>
      <c r="O1662" s="69"/>
      <c r="P1662" s="57"/>
    </row>
    <row r="1663" spans="1:16" x14ac:dyDescent="0.2">
      <c r="A1663" s="57"/>
      <c r="B1663" s="69"/>
      <c r="C1663" s="57"/>
      <c r="D1663" s="57"/>
      <c r="E1663" s="57"/>
      <c r="F1663" s="57"/>
      <c r="G1663" s="57"/>
      <c r="H1663" s="57"/>
      <c r="I1663" s="57"/>
      <c r="J1663" s="57"/>
      <c r="K1663" s="57"/>
      <c r="L1663" s="57"/>
      <c r="M1663" s="57"/>
      <c r="O1663" s="69"/>
      <c r="P1663" s="57"/>
    </row>
    <row r="1664" spans="1:16" x14ac:dyDescent="0.2">
      <c r="A1664" s="57"/>
      <c r="B1664" s="69"/>
      <c r="C1664" s="57"/>
      <c r="D1664" s="57"/>
      <c r="E1664" s="57"/>
      <c r="F1664" s="57"/>
      <c r="G1664" s="57"/>
      <c r="H1664" s="57"/>
      <c r="I1664" s="57"/>
      <c r="J1664" s="57"/>
      <c r="K1664" s="57"/>
      <c r="L1664" s="57"/>
      <c r="M1664" s="57"/>
      <c r="O1664" s="69"/>
      <c r="P1664" s="57"/>
    </row>
    <row r="1665" spans="1:16" x14ac:dyDescent="0.2">
      <c r="A1665" s="57"/>
      <c r="B1665" s="69"/>
      <c r="C1665" s="57"/>
      <c r="D1665" s="57"/>
      <c r="E1665" s="57"/>
      <c r="F1665" s="57"/>
      <c r="G1665" s="57"/>
      <c r="H1665" s="57"/>
      <c r="I1665" s="57"/>
      <c r="J1665" s="57"/>
      <c r="K1665" s="57"/>
      <c r="L1665" s="57"/>
      <c r="M1665" s="57"/>
      <c r="O1665" s="69"/>
      <c r="P1665" s="57"/>
    </row>
    <row r="1666" spans="1:16" x14ac:dyDescent="0.2">
      <c r="A1666" s="57"/>
      <c r="B1666" s="69"/>
      <c r="C1666" s="57"/>
      <c r="D1666" s="57"/>
      <c r="E1666" s="57"/>
      <c r="F1666" s="57"/>
      <c r="G1666" s="57"/>
      <c r="H1666" s="57"/>
      <c r="I1666" s="57"/>
      <c r="J1666" s="57"/>
      <c r="K1666" s="57"/>
      <c r="L1666" s="57"/>
      <c r="M1666" s="57"/>
      <c r="O1666" s="69"/>
      <c r="P1666" s="57"/>
    </row>
    <row r="1667" spans="1:16" x14ac:dyDescent="0.2">
      <c r="A1667" s="57"/>
      <c r="B1667" s="69"/>
      <c r="C1667" s="57"/>
      <c r="D1667" s="57"/>
      <c r="E1667" s="57"/>
      <c r="F1667" s="57"/>
      <c r="G1667" s="57"/>
      <c r="H1667" s="57"/>
      <c r="I1667" s="57"/>
      <c r="J1667" s="57"/>
      <c r="K1667" s="57"/>
      <c r="L1667" s="57"/>
      <c r="M1667" s="57"/>
      <c r="O1667" s="69"/>
      <c r="P1667" s="57"/>
    </row>
    <row r="1668" spans="1:16" x14ac:dyDescent="0.2">
      <c r="A1668" s="57"/>
      <c r="B1668" s="69"/>
      <c r="C1668" s="57"/>
      <c r="D1668" s="57"/>
      <c r="E1668" s="57"/>
      <c r="F1668" s="57"/>
      <c r="G1668" s="57"/>
      <c r="H1668" s="57"/>
      <c r="I1668" s="57"/>
      <c r="J1668" s="57"/>
      <c r="K1668" s="57"/>
      <c r="L1668" s="57"/>
      <c r="M1668" s="57"/>
      <c r="O1668" s="69"/>
      <c r="P1668" s="57"/>
    </row>
    <row r="1669" spans="1:16" x14ac:dyDescent="0.2">
      <c r="A1669" s="57"/>
      <c r="B1669" s="69"/>
      <c r="C1669" s="57"/>
      <c r="D1669" s="57"/>
      <c r="E1669" s="57"/>
      <c r="F1669" s="57"/>
      <c r="G1669" s="57"/>
      <c r="H1669" s="57"/>
      <c r="I1669" s="57"/>
      <c r="J1669" s="57"/>
      <c r="K1669" s="57"/>
      <c r="L1669" s="57"/>
      <c r="M1669" s="57"/>
      <c r="O1669" s="69"/>
      <c r="P1669" s="57"/>
    </row>
    <row r="1670" spans="1:16" x14ac:dyDescent="0.2">
      <c r="A1670" s="57"/>
      <c r="B1670" s="69"/>
      <c r="C1670" s="57"/>
      <c r="D1670" s="57"/>
      <c r="E1670" s="57"/>
      <c r="F1670" s="57"/>
      <c r="G1670" s="57"/>
      <c r="H1670" s="57"/>
      <c r="I1670" s="57"/>
      <c r="J1670" s="57"/>
      <c r="K1670" s="57"/>
      <c r="L1670" s="57"/>
      <c r="M1670" s="57"/>
      <c r="O1670" s="69"/>
      <c r="P1670" s="57"/>
    </row>
    <row r="1671" spans="1:16" x14ac:dyDescent="0.2">
      <c r="A1671" s="57"/>
      <c r="B1671" s="69"/>
      <c r="C1671" s="57"/>
      <c r="D1671" s="57"/>
      <c r="E1671" s="57"/>
      <c r="F1671" s="57"/>
      <c r="G1671" s="57"/>
      <c r="H1671" s="57"/>
      <c r="I1671" s="57"/>
      <c r="J1671" s="57"/>
      <c r="K1671" s="57"/>
      <c r="L1671" s="57"/>
      <c r="M1671" s="57"/>
      <c r="O1671" s="69"/>
      <c r="P1671" s="57"/>
    </row>
    <row r="1672" spans="1:16" x14ac:dyDescent="0.2">
      <c r="A1672" s="57"/>
      <c r="B1672" s="69"/>
      <c r="C1672" s="57"/>
      <c r="D1672" s="57"/>
      <c r="E1672" s="57"/>
      <c r="F1672" s="57"/>
      <c r="G1672" s="57"/>
      <c r="H1672" s="57"/>
      <c r="I1672" s="57"/>
      <c r="J1672" s="57"/>
      <c r="K1672" s="57"/>
      <c r="L1672" s="57"/>
      <c r="M1672" s="57"/>
      <c r="O1672" s="69"/>
      <c r="P1672" s="57"/>
    </row>
    <row r="1673" spans="1:16" x14ac:dyDescent="0.2">
      <c r="A1673" s="57"/>
      <c r="B1673" s="69"/>
      <c r="C1673" s="57"/>
      <c r="D1673" s="57"/>
      <c r="E1673" s="57"/>
      <c r="F1673" s="57"/>
      <c r="G1673" s="57"/>
      <c r="H1673" s="57"/>
      <c r="I1673" s="57"/>
      <c r="J1673" s="57"/>
      <c r="K1673" s="57"/>
      <c r="L1673" s="57"/>
      <c r="M1673" s="57"/>
      <c r="O1673" s="69"/>
      <c r="P1673" s="57"/>
    </row>
    <row r="1674" spans="1:16" x14ac:dyDescent="0.2">
      <c r="A1674" s="57"/>
      <c r="B1674" s="69"/>
      <c r="C1674" s="57"/>
      <c r="D1674" s="57"/>
      <c r="E1674" s="57"/>
      <c r="F1674" s="57"/>
      <c r="G1674" s="57"/>
      <c r="H1674" s="57"/>
      <c r="I1674" s="57"/>
      <c r="J1674" s="57"/>
      <c r="K1674" s="57"/>
      <c r="L1674" s="57"/>
      <c r="M1674" s="57"/>
      <c r="O1674" s="69"/>
      <c r="P1674" s="57"/>
    </row>
    <row r="1675" spans="1:16" x14ac:dyDescent="0.2">
      <c r="A1675" s="57"/>
      <c r="B1675" s="69"/>
      <c r="C1675" s="57"/>
      <c r="D1675" s="57"/>
      <c r="E1675" s="57"/>
      <c r="F1675" s="57"/>
      <c r="G1675" s="57"/>
      <c r="H1675" s="57"/>
      <c r="I1675" s="57"/>
      <c r="J1675" s="57"/>
      <c r="K1675" s="57"/>
      <c r="L1675" s="57"/>
      <c r="M1675" s="57"/>
      <c r="O1675" s="69"/>
      <c r="P1675" s="57"/>
    </row>
    <row r="1676" spans="1:16" x14ac:dyDescent="0.2">
      <c r="A1676" s="57"/>
      <c r="B1676" s="69"/>
      <c r="C1676" s="57"/>
      <c r="D1676" s="57"/>
      <c r="E1676" s="57"/>
      <c r="F1676" s="57"/>
      <c r="G1676" s="57"/>
      <c r="H1676" s="57"/>
      <c r="I1676" s="57"/>
      <c r="J1676" s="57"/>
      <c r="K1676" s="57"/>
      <c r="L1676" s="57"/>
      <c r="M1676" s="57"/>
      <c r="O1676" s="69"/>
      <c r="P1676" s="57"/>
    </row>
    <row r="1677" spans="1:16" x14ac:dyDescent="0.2">
      <c r="A1677" s="57"/>
      <c r="B1677" s="69"/>
      <c r="C1677" s="57"/>
      <c r="D1677" s="57"/>
      <c r="E1677" s="57"/>
      <c r="F1677" s="57"/>
      <c r="G1677" s="57"/>
      <c r="H1677" s="57"/>
      <c r="I1677" s="57"/>
      <c r="J1677" s="57"/>
      <c r="K1677" s="57"/>
      <c r="L1677" s="57"/>
      <c r="M1677" s="57"/>
      <c r="O1677" s="69"/>
      <c r="P1677" s="57"/>
    </row>
    <row r="1678" spans="1:16" x14ac:dyDescent="0.2">
      <c r="A1678" s="57"/>
      <c r="B1678" s="69"/>
      <c r="C1678" s="57"/>
      <c r="D1678" s="57"/>
      <c r="E1678" s="57"/>
      <c r="F1678" s="57"/>
      <c r="G1678" s="57"/>
      <c r="H1678" s="57"/>
      <c r="I1678" s="57"/>
      <c r="J1678" s="57"/>
      <c r="K1678" s="57"/>
      <c r="L1678" s="57"/>
      <c r="M1678" s="57"/>
      <c r="O1678" s="69"/>
      <c r="P1678" s="57"/>
    </row>
    <row r="1679" spans="1:16" x14ac:dyDescent="0.2">
      <c r="A1679" s="57"/>
      <c r="B1679" s="69"/>
      <c r="C1679" s="57"/>
      <c r="D1679" s="57"/>
      <c r="E1679" s="57"/>
      <c r="F1679" s="57"/>
      <c r="G1679" s="57"/>
      <c r="H1679" s="57"/>
      <c r="I1679" s="57"/>
      <c r="J1679" s="57"/>
      <c r="K1679" s="57"/>
      <c r="L1679" s="57"/>
      <c r="M1679" s="57"/>
      <c r="O1679" s="69"/>
      <c r="P1679" s="57"/>
    </row>
    <row r="1680" spans="1:16" x14ac:dyDescent="0.2">
      <c r="A1680" s="57"/>
      <c r="B1680" s="69"/>
      <c r="C1680" s="57"/>
      <c r="D1680" s="57"/>
      <c r="E1680" s="57"/>
      <c r="F1680" s="57"/>
      <c r="G1680" s="57"/>
      <c r="H1680" s="57"/>
      <c r="I1680" s="57"/>
      <c r="J1680" s="57"/>
      <c r="K1680" s="57"/>
      <c r="L1680" s="57"/>
      <c r="M1680" s="57"/>
      <c r="O1680" s="69"/>
      <c r="P1680" s="57"/>
    </row>
    <row r="1681" spans="1:16" x14ac:dyDescent="0.2">
      <c r="A1681" s="57"/>
      <c r="B1681" s="69"/>
      <c r="C1681" s="57"/>
      <c r="D1681" s="57"/>
      <c r="E1681" s="57"/>
      <c r="F1681" s="57"/>
      <c r="G1681" s="57"/>
      <c r="H1681" s="57"/>
      <c r="I1681" s="57"/>
      <c r="J1681" s="57"/>
      <c r="K1681" s="57"/>
      <c r="L1681" s="57"/>
      <c r="M1681" s="57"/>
      <c r="O1681" s="69"/>
      <c r="P1681" s="57"/>
    </row>
    <row r="1682" spans="1:16" x14ac:dyDescent="0.2">
      <c r="A1682" s="57"/>
      <c r="B1682" s="69"/>
      <c r="C1682" s="57"/>
      <c r="D1682" s="57"/>
      <c r="E1682" s="57"/>
      <c r="F1682" s="57"/>
      <c r="G1682" s="57"/>
      <c r="H1682" s="57"/>
      <c r="I1682" s="57"/>
      <c r="J1682" s="57"/>
      <c r="K1682" s="57"/>
      <c r="L1682" s="57"/>
      <c r="M1682" s="57"/>
      <c r="O1682" s="69"/>
      <c r="P1682" s="57"/>
    </row>
    <row r="1683" spans="1:16" x14ac:dyDescent="0.2">
      <c r="A1683" s="57"/>
      <c r="B1683" s="69"/>
      <c r="C1683" s="57"/>
      <c r="D1683" s="57"/>
      <c r="E1683" s="57"/>
      <c r="F1683" s="57"/>
      <c r="G1683" s="57"/>
      <c r="H1683" s="57"/>
      <c r="I1683" s="57"/>
      <c r="J1683" s="57"/>
      <c r="K1683" s="57"/>
      <c r="L1683" s="57"/>
      <c r="M1683" s="57"/>
      <c r="O1683" s="69"/>
      <c r="P1683" s="57"/>
    </row>
    <row r="1684" spans="1:16" x14ac:dyDescent="0.2">
      <c r="A1684" s="57"/>
      <c r="B1684" s="69"/>
      <c r="C1684" s="57"/>
      <c r="D1684" s="57"/>
      <c r="E1684" s="57"/>
      <c r="F1684" s="57"/>
      <c r="G1684" s="57"/>
      <c r="H1684" s="57"/>
      <c r="I1684" s="57"/>
      <c r="J1684" s="57"/>
      <c r="K1684" s="57"/>
      <c r="L1684" s="57"/>
      <c r="M1684" s="57"/>
      <c r="O1684" s="69"/>
      <c r="P1684" s="57"/>
    </row>
    <row r="1685" spans="1:16" x14ac:dyDescent="0.2">
      <c r="A1685" s="57"/>
      <c r="B1685" s="69"/>
      <c r="C1685" s="57"/>
      <c r="D1685" s="57"/>
      <c r="E1685" s="57"/>
      <c r="F1685" s="57"/>
      <c r="G1685" s="57"/>
      <c r="H1685" s="57"/>
      <c r="I1685" s="57"/>
      <c r="J1685" s="57"/>
      <c r="K1685" s="57"/>
      <c r="L1685" s="57"/>
      <c r="M1685" s="57"/>
      <c r="O1685" s="69"/>
      <c r="P1685" s="57"/>
    </row>
    <row r="1686" spans="1:16" x14ac:dyDescent="0.2">
      <c r="A1686" s="57"/>
      <c r="B1686" s="69"/>
      <c r="C1686" s="57"/>
      <c r="D1686" s="57"/>
      <c r="E1686" s="57"/>
      <c r="F1686" s="57"/>
      <c r="G1686" s="57"/>
      <c r="H1686" s="57"/>
      <c r="I1686" s="57"/>
      <c r="J1686" s="57"/>
      <c r="K1686" s="57"/>
      <c r="L1686" s="57"/>
      <c r="M1686" s="57"/>
      <c r="O1686" s="69"/>
      <c r="P1686" s="57"/>
    </row>
    <row r="1687" spans="1:16" x14ac:dyDescent="0.2">
      <c r="A1687" s="57"/>
      <c r="B1687" s="69"/>
      <c r="C1687" s="57"/>
      <c r="D1687" s="57"/>
      <c r="E1687" s="57"/>
      <c r="F1687" s="57"/>
      <c r="G1687" s="57"/>
      <c r="H1687" s="57"/>
      <c r="I1687" s="57"/>
      <c r="J1687" s="57"/>
      <c r="K1687" s="57"/>
      <c r="L1687" s="57"/>
      <c r="M1687" s="57"/>
      <c r="O1687" s="69"/>
      <c r="P1687" s="57"/>
    </row>
    <row r="1688" spans="1:16" x14ac:dyDescent="0.2">
      <c r="A1688" s="57"/>
      <c r="B1688" s="69"/>
      <c r="C1688" s="57"/>
      <c r="D1688" s="57"/>
      <c r="E1688" s="57"/>
      <c r="F1688" s="57"/>
      <c r="G1688" s="57"/>
      <c r="H1688" s="57"/>
      <c r="I1688" s="57"/>
      <c r="J1688" s="57"/>
      <c r="K1688" s="57"/>
      <c r="L1688" s="57"/>
      <c r="M1688" s="57"/>
      <c r="O1688" s="69"/>
      <c r="P1688" s="57"/>
    </row>
    <row r="1689" spans="1:16" x14ac:dyDescent="0.2">
      <c r="A1689" s="57"/>
      <c r="B1689" s="69"/>
      <c r="C1689" s="57"/>
      <c r="D1689" s="57"/>
      <c r="E1689" s="57"/>
      <c r="F1689" s="57"/>
      <c r="G1689" s="57"/>
      <c r="H1689" s="57"/>
      <c r="I1689" s="57"/>
      <c r="J1689" s="57"/>
      <c r="K1689" s="57"/>
      <c r="L1689" s="57"/>
      <c r="M1689" s="57"/>
      <c r="O1689" s="69"/>
      <c r="P1689" s="57"/>
    </row>
    <row r="1690" spans="1:16" x14ac:dyDescent="0.2">
      <c r="A1690" s="57"/>
      <c r="B1690" s="69"/>
      <c r="C1690" s="57"/>
      <c r="D1690" s="57"/>
      <c r="E1690" s="57"/>
      <c r="F1690" s="57"/>
      <c r="G1690" s="57"/>
      <c r="H1690" s="57"/>
      <c r="I1690" s="57"/>
      <c r="J1690" s="57"/>
      <c r="K1690" s="57"/>
      <c r="L1690" s="57"/>
      <c r="M1690" s="57"/>
      <c r="O1690" s="69"/>
      <c r="P1690" s="57"/>
    </row>
    <row r="1691" spans="1:16" x14ac:dyDescent="0.2">
      <c r="A1691" s="57"/>
      <c r="B1691" s="69"/>
      <c r="C1691" s="57"/>
      <c r="D1691" s="57"/>
      <c r="E1691" s="57"/>
      <c r="F1691" s="57"/>
      <c r="G1691" s="57"/>
      <c r="H1691" s="57"/>
      <c r="I1691" s="57"/>
      <c r="J1691" s="57"/>
      <c r="K1691" s="57"/>
      <c r="L1691" s="57"/>
      <c r="M1691" s="57"/>
      <c r="O1691" s="69"/>
      <c r="P1691" s="57"/>
    </row>
    <row r="1692" spans="1:16" x14ac:dyDescent="0.2">
      <c r="A1692" s="57"/>
      <c r="B1692" s="69"/>
      <c r="C1692" s="57"/>
      <c r="D1692" s="57"/>
      <c r="E1692" s="57"/>
      <c r="F1692" s="57"/>
      <c r="G1692" s="57"/>
      <c r="H1692" s="57"/>
      <c r="I1692" s="57"/>
      <c r="J1692" s="57"/>
      <c r="K1692" s="57"/>
      <c r="L1692" s="57"/>
      <c r="M1692" s="57"/>
      <c r="O1692" s="69"/>
      <c r="P1692" s="57"/>
    </row>
    <row r="1693" spans="1:16" x14ac:dyDescent="0.2">
      <c r="A1693" s="57"/>
      <c r="B1693" s="69"/>
      <c r="C1693" s="57"/>
      <c r="D1693" s="57"/>
      <c r="E1693" s="57"/>
      <c r="F1693" s="57"/>
      <c r="G1693" s="57"/>
      <c r="H1693" s="57"/>
      <c r="I1693" s="57"/>
      <c r="J1693" s="57"/>
      <c r="K1693" s="57"/>
      <c r="L1693" s="57"/>
      <c r="M1693" s="57"/>
      <c r="O1693" s="69"/>
      <c r="P1693" s="57"/>
    </row>
    <row r="1694" spans="1:16" x14ac:dyDescent="0.2">
      <c r="A1694" s="57"/>
      <c r="B1694" s="69"/>
      <c r="C1694" s="57"/>
      <c r="D1694" s="57"/>
      <c r="E1694" s="57"/>
      <c r="F1694" s="57"/>
      <c r="G1694" s="57"/>
      <c r="H1694" s="57"/>
      <c r="I1694" s="57"/>
      <c r="J1694" s="57"/>
      <c r="K1694" s="57"/>
      <c r="L1694" s="57"/>
      <c r="M1694" s="57"/>
      <c r="O1694" s="69"/>
      <c r="P1694" s="57"/>
    </row>
    <row r="1695" spans="1:16" x14ac:dyDescent="0.2">
      <c r="A1695" s="57"/>
      <c r="B1695" s="69"/>
      <c r="C1695" s="57"/>
      <c r="D1695" s="57"/>
      <c r="E1695" s="57"/>
      <c r="F1695" s="57"/>
      <c r="G1695" s="57"/>
      <c r="H1695" s="57"/>
      <c r="I1695" s="57"/>
      <c r="J1695" s="57"/>
      <c r="K1695" s="57"/>
      <c r="L1695" s="57"/>
      <c r="M1695" s="57"/>
      <c r="O1695" s="69"/>
      <c r="P1695" s="57"/>
    </row>
    <row r="1696" spans="1:16" x14ac:dyDescent="0.2">
      <c r="A1696" s="57"/>
      <c r="B1696" s="69"/>
      <c r="C1696" s="57"/>
      <c r="D1696" s="57"/>
      <c r="E1696" s="57"/>
      <c r="F1696" s="57"/>
      <c r="G1696" s="57"/>
      <c r="H1696" s="57"/>
      <c r="I1696" s="57"/>
      <c r="J1696" s="57"/>
      <c r="K1696" s="57"/>
      <c r="L1696" s="57"/>
      <c r="M1696" s="57"/>
      <c r="O1696" s="69"/>
      <c r="P1696" s="57"/>
    </row>
    <row r="1697" spans="1:16" x14ac:dyDescent="0.2">
      <c r="A1697" s="57"/>
      <c r="B1697" s="69"/>
      <c r="C1697" s="57"/>
      <c r="D1697" s="57"/>
      <c r="E1697" s="57"/>
      <c r="F1697" s="57"/>
      <c r="G1697" s="57"/>
      <c r="H1697" s="57"/>
      <c r="I1697" s="57"/>
      <c r="J1697" s="57"/>
      <c r="K1697" s="57"/>
      <c r="L1697" s="57"/>
      <c r="M1697" s="57"/>
      <c r="O1697" s="69"/>
      <c r="P1697" s="57"/>
    </row>
    <row r="1698" spans="1:16" x14ac:dyDescent="0.2">
      <c r="A1698" s="57"/>
      <c r="B1698" s="69"/>
      <c r="C1698" s="57"/>
      <c r="D1698" s="57"/>
      <c r="E1698" s="57"/>
      <c r="F1698" s="57"/>
      <c r="G1698" s="57"/>
      <c r="H1698" s="57"/>
      <c r="I1698" s="57"/>
      <c r="J1698" s="57"/>
      <c r="K1698" s="57"/>
      <c r="L1698" s="57"/>
      <c r="M1698" s="57"/>
      <c r="O1698" s="69"/>
      <c r="P1698" s="57"/>
    </row>
    <row r="1699" spans="1:16" x14ac:dyDescent="0.2">
      <c r="A1699" s="57"/>
      <c r="B1699" s="69"/>
      <c r="C1699" s="57"/>
      <c r="D1699" s="57"/>
      <c r="E1699" s="57"/>
      <c r="F1699" s="57"/>
      <c r="G1699" s="57"/>
      <c r="H1699" s="57"/>
      <c r="I1699" s="57"/>
      <c r="J1699" s="57"/>
      <c r="K1699" s="57"/>
      <c r="L1699" s="57"/>
      <c r="M1699" s="57"/>
      <c r="O1699" s="69"/>
      <c r="P1699" s="57"/>
    </row>
    <row r="1700" spans="1:16" x14ac:dyDescent="0.2">
      <c r="A1700" s="57"/>
      <c r="B1700" s="69"/>
      <c r="C1700" s="57"/>
      <c r="D1700" s="57"/>
      <c r="E1700" s="57"/>
      <c r="F1700" s="57"/>
      <c r="G1700" s="57"/>
      <c r="H1700" s="57"/>
      <c r="I1700" s="57"/>
      <c r="J1700" s="57"/>
      <c r="K1700" s="57"/>
      <c r="L1700" s="57"/>
      <c r="M1700" s="57"/>
      <c r="O1700" s="69"/>
      <c r="P1700" s="57"/>
    </row>
    <row r="1701" spans="1:16" x14ac:dyDescent="0.2">
      <c r="A1701" s="57"/>
      <c r="B1701" s="69"/>
      <c r="C1701" s="57"/>
      <c r="D1701" s="57"/>
      <c r="E1701" s="57"/>
      <c r="F1701" s="57"/>
      <c r="G1701" s="57"/>
      <c r="H1701" s="57"/>
      <c r="I1701" s="57"/>
      <c r="J1701" s="57"/>
      <c r="K1701" s="57"/>
      <c r="L1701" s="57"/>
      <c r="M1701" s="57"/>
      <c r="O1701" s="69"/>
      <c r="P1701" s="57"/>
    </row>
    <row r="1702" spans="1:16" x14ac:dyDescent="0.2">
      <c r="A1702" s="57"/>
      <c r="B1702" s="69"/>
      <c r="C1702" s="57"/>
      <c r="D1702" s="57"/>
      <c r="E1702" s="57"/>
      <c r="F1702" s="57"/>
      <c r="G1702" s="57"/>
      <c r="H1702" s="57"/>
      <c r="I1702" s="57"/>
      <c r="J1702" s="57"/>
      <c r="K1702" s="57"/>
      <c r="L1702" s="57"/>
      <c r="M1702" s="57"/>
      <c r="O1702" s="69"/>
      <c r="P1702" s="57"/>
    </row>
    <row r="1703" spans="1:16" x14ac:dyDescent="0.2">
      <c r="A1703" s="57"/>
      <c r="B1703" s="69"/>
      <c r="C1703" s="57"/>
      <c r="D1703" s="57"/>
      <c r="E1703" s="57"/>
      <c r="F1703" s="57"/>
      <c r="G1703" s="57"/>
      <c r="H1703" s="57"/>
      <c r="I1703" s="57"/>
      <c r="J1703" s="57"/>
      <c r="K1703" s="57"/>
      <c r="L1703" s="57"/>
      <c r="M1703" s="57"/>
      <c r="O1703" s="69"/>
      <c r="P1703" s="57"/>
    </row>
    <row r="1704" spans="1:16" x14ac:dyDescent="0.2">
      <c r="A1704" s="57"/>
      <c r="B1704" s="69"/>
      <c r="C1704" s="57"/>
      <c r="D1704" s="57"/>
      <c r="E1704" s="57"/>
      <c r="F1704" s="57"/>
      <c r="G1704" s="57"/>
      <c r="H1704" s="57"/>
      <c r="I1704" s="57"/>
      <c r="J1704" s="57"/>
      <c r="K1704" s="57"/>
      <c r="L1704" s="57"/>
      <c r="M1704" s="57"/>
      <c r="O1704" s="69"/>
      <c r="P1704" s="57"/>
    </row>
    <row r="1705" spans="1:16" x14ac:dyDescent="0.2">
      <c r="A1705" s="57"/>
      <c r="B1705" s="69"/>
      <c r="C1705" s="57"/>
      <c r="D1705" s="57"/>
      <c r="E1705" s="57"/>
      <c r="F1705" s="57"/>
      <c r="G1705" s="57"/>
      <c r="H1705" s="57"/>
      <c r="I1705" s="57"/>
      <c r="J1705" s="57"/>
      <c r="K1705" s="57"/>
      <c r="L1705" s="57"/>
      <c r="M1705" s="57"/>
      <c r="O1705" s="69"/>
      <c r="P1705" s="57"/>
    </row>
    <row r="1706" spans="1:16" x14ac:dyDescent="0.2">
      <c r="A1706" s="57"/>
      <c r="B1706" s="69"/>
      <c r="C1706" s="57"/>
      <c r="D1706" s="57"/>
      <c r="E1706" s="57"/>
      <c r="F1706" s="57"/>
      <c r="G1706" s="57"/>
      <c r="H1706" s="57"/>
      <c r="I1706" s="57"/>
      <c r="J1706" s="57"/>
      <c r="K1706" s="57"/>
      <c r="L1706" s="57"/>
      <c r="M1706" s="57"/>
      <c r="O1706" s="69"/>
      <c r="P1706" s="57"/>
    </row>
    <row r="1707" spans="1:16" x14ac:dyDescent="0.2">
      <c r="A1707" s="57"/>
      <c r="B1707" s="69"/>
      <c r="C1707" s="57"/>
      <c r="D1707" s="57"/>
      <c r="E1707" s="57"/>
      <c r="F1707" s="57"/>
      <c r="G1707" s="57"/>
      <c r="H1707" s="57"/>
      <c r="I1707" s="57"/>
      <c r="J1707" s="57"/>
      <c r="K1707" s="57"/>
      <c r="L1707" s="57"/>
      <c r="M1707" s="57"/>
      <c r="O1707" s="69"/>
      <c r="P1707" s="57"/>
    </row>
    <row r="1708" spans="1:16" x14ac:dyDescent="0.2">
      <c r="A1708" s="57"/>
      <c r="B1708" s="69"/>
      <c r="C1708" s="57"/>
      <c r="D1708" s="57"/>
      <c r="E1708" s="57"/>
      <c r="F1708" s="57"/>
      <c r="G1708" s="57"/>
      <c r="H1708" s="57"/>
      <c r="I1708" s="57"/>
      <c r="J1708" s="57"/>
      <c r="K1708" s="57"/>
      <c r="L1708" s="57"/>
      <c r="M1708" s="57"/>
      <c r="O1708" s="69"/>
      <c r="P1708" s="57"/>
    </row>
    <row r="1709" spans="1:16" x14ac:dyDescent="0.2">
      <c r="A1709" s="57"/>
      <c r="B1709" s="69"/>
      <c r="C1709" s="57"/>
      <c r="D1709" s="57"/>
      <c r="E1709" s="57"/>
      <c r="F1709" s="57"/>
      <c r="G1709" s="57"/>
      <c r="H1709" s="57"/>
      <c r="I1709" s="57"/>
      <c r="J1709" s="57"/>
      <c r="K1709" s="57"/>
      <c r="L1709" s="57"/>
      <c r="M1709" s="57"/>
      <c r="O1709" s="69"/>
      <c r="P1709" s="57"/>
    </row>
    <row r="1710" spans="1:16" x14ac:dyDescent="0.2">
      <c r="A1710" s="57"/>
      <c r="B1710" s="69"/>
      <c r="C1710" s="57"/>
      <c r="D1710" s="57"/>
      <c r="E1710" s="57"/>
      <c r="F1710" s="57"/>
      <c r="G1710" s="57"/>
      <c r="H1710" s="57"/>
      <c r="I1710" s="57"/>
      <c r="J1710" s="57"/>
      <c r="K1710" s="57"/>
      <c r="L1710" s="57"/>
      <c r="M1710" s="57"/>
      <c r="O1710" s="69"/>
      <c r="P1710" s="57"/>
    </row>
    <row r="1711" spans="1:16" x14ac:dyDescent="0.2">
      <c r="A1711" s="57"/>
      <c r="B1711" s="69"/>
      <c r="C1711" s="57"/>
      <c r="D1711" s="57"/>
      <c r="E1711" s="57"/>
      <c r="F1711" s="57"/>
      <c r="G1711" s="57"/>
      <c r="H1711" s="57"/>
      <c r="I1711" s="57"/>
      <c r="J1711" s="57"/>
      <c r="K1711" s="57"/>
      <c r="L1711" s="57"/>
      <c r="M1711" s="57"/>
      <c r="O1711" s="69"/>
      <c r="P1711" s="57"/>
    </row>
    <row r="1712" spans="1:16" x14ac:dyDescent="0.2">
      <c r="A1712" s="57"/>
      <c r="B1712" s="69"/>
      <c r="C1712" s="57"/>
      <c r="D1712" s="57"/>
      <c r="E1712" s="57"/>
      <c r="F1712" s="57"/>
      <c r="G1712" s="57"/>
      <c r="H1712" s="57"/>
      <c r="I1712" s="57"/>
      <c r="J1712" s="57"/>
      <c r="K1712" s="57"/>
      <c r="L1712" s="57"/>
      <c r="M1712" s="57"/>
      <c r="O1712" s="69"/>
      <c r="P1712" s="57"/>
    </row>
    <row r="1713" spans="1:16" x14ac:dyDescent="0.2">
      <c r="A1713" s="57"/>
      <c r="B1713" s="69"/>
      <c r="C1713" s="57"/>
      <c r="D1713" s="57"/>
      <c r="E1713" s="57"/>
      <c r="F1713" s="57"/>
      <c r="G1713" s="57"/>
      <c r="H1713" s="57"/>
      <c r="I1713" s="57"/>
      <c r="J1713" s="57"/>
      <c r="K1713" s="57"/>
      <c r="L1713" s="57"/>
      <c r="M1713" s="57"/>
      <c r="O1713" s="69"/>
      <c r="P1713" s="57"/>
    </row>
    <row r="1714" spans="1:16" x14ac:dyDescent="0.2">
      <c r="A1714" s="57"/>
      <c r="B1714" s="69"/>
      <c r="C1714" s="57"/>
      <c r="D1714" s="57"/>
      <c r="E1714" s="57"/>
      <c r="F1714" s="57"/>
      <c r="G1714" s="57"/>
      <c r="H1714" s="57"/>
      <c r="I1714" s="57"/>
      <c r="J1714" s="57"/>
      <c r="K1714" s="57"/>
      <c r="L1714" s="57"/>
      <c r="M1714" s="57"/>
      <c r="O1714" s="69"/>
      <c r="P1714" s="57"/>
    </row>
    <row r="1715" spans="1:16" x14ac:dyDescent="0.2">
      <c r="A1715" s="57"/>
      <c r="B1715" s="69"/>
      <c r="C1715" s="57"/>
      <c r="D1715" s="57"/>
      <c r="E1715" s="57"/>
      <c r="F1715" s="57"/>
      <c r="G1715" s="57"/>
      <c r="H1715" s="57"/>
      <c r="I1715" s="57"/>
      <c r="J1715" s="57"/>
      <c r="K1715" s="57"/>
      <c r="L1715" s="57"/>
      <c r="M1715" s="57"/>
      <c r="O1715" s="69"/>
      <c r="P1715" s="57"/>
    </row>
    <row r="1716" spans="1:16" x14ac:dyDescent="0.2">
      <c r="A1716" s="57"/>
      <c r="B1716" s="69"/>
      <c r="C1716" s="57"/>
      <c r="D1716" s="57"/>
      <c r="E1716" s="57"/>
      <c r="F1716" s="57"/>
      <c r="G1716" s="57"/>
      <c r="H1716" s="57"/>
      <c r="I1716" s="57"/>
      <c r="J1716" s="57"/>
      <c r="K1716" s="57"/>
      <c r="L1716" s="57"/>
      <c r="M1716" s="57"/>
      <c r="O1716" s="69"/>
      <c r="P1716" s="57"/>
    </row>
    <row r="1717" spans="1:16" x14ac:dyDescent="0.2">
      <c r="A1717" s="57"/>
      <c r="B1717" s="69"/>
      <c r="C1717" s="57"/>
      <c r="D1717" s="57"/>
      <c r="E1717" s="57"/>
      <c r="F1717" s="57"/>
      <c r="G1717" s="57"/>
      <c r="H1717" s="57"/>
      <c r="I1717" s="57"/>
      <c r="J1717" s="57"/>
      <c r="K1717" s="57"/>
      <c r="L1717" s="57"/>
      <c r="M1717" s="57"/>
      <c r="O1717" s="69"/>
      <c r="P1717" s="57"/>
    </row>
    <row r="1718" spans="1:16" x14ac:dyDescent="0.2">
      <c r="A1718" s="57"/>
      <c r="B1718" s="69"/>
      <c r="C1718" s="57"/>
      <c r="D1718" s="57"/>
      <c r="E1718" s="57"/>
      <c r="F1718" s="57"/>
      <c r="G1718" s="57"/>
      <c r="H1718" s="57"/>
      <c r="I1718" s="57"/>
      <c r="J1718" s="57"/>
      <c r="K1718" s="57"/>
      <c r="L1718" s="57"/>
      <c r="M1718" s="57"/>
      <c r="O1718" s="69"/>
      <c r="P1718" s="57"/>
    </row>
    <row r="1719" spans="1:16" x14ac:dyDescent="0.2">
      <c r="A1719" s="57"/>
      <c r="B1719" s="69"/>
      <c r="C1719" s="57"/>
      <c r="D1719" s="57"/>
      <c r="E1719" s="57"/>
      <c r="F1719" s="57"/>
      <c r="G1719" s="57"/>
      <c r="H1719" s="57"/>
      <c r="I1719" s="57"/>
      <c r="J1719" s="57"/>
      <c r="K1719" s="57"/>
      <c r="L1719" s="57"/>
      <c r="M1719" s="57"/>
      <c r="O1719" s="69"/>
      <c r="P1719" s="57"/>
    </row>
    <row r="1720" spans="1:16" x14ac:dyDescent="0.2">
      <c r="A1720" s="57"/>
      <c r="B1720" s="69"/>
      <c r="C1720" s="57"/>
      <c r="D1720" s="57"/>
      <c r="E1720" s="57"/>
      <c r="F1720" s="57"/>
      <c r="G1720" s="57"/>
      <c r="H1720" s="57"/>
      <c r="I1720" s="57"/>
      <c r="J1720" s="57"/>
      <c r="K1720" s="57"/>
      <c r="L1720" s="57"/>
      <c r="M1720" s="57"/>
      <c r="O1720" s="69"/>
      <c r="P1720" s="57"/>
    </row>
    <row r="1721" spans="1:16" x14ac:dyDescent="0.2">
      <c r="A1721" s="57"/>
      <c r="B1721" s="69"/>
      <c r="C1721" s="57"/>
      <c r="D1721" s="57"/>
      <c r="E1721" s="57"/>
      <c r="F1721" s="57"/>
      <c r="G1721" s="57"/>
      <c r="H1721" s="57"/>
      <c r="I1721" s="57"/>
      <c r="J1721" s="57"/>
      <c r="K1721" s="57"/>
      <c r="L1721" s="57"/>
      <c r="M1721" s="57"/>
      <c r="O1721" s="69"/>
      <c r="P1721" s="57"/>
    </row>
    <row r="1722" spans="1:16" x14ac:dyDescent="0.2">
      <c r="A1722" s="57"/>
      <c r="B1722" s="69"/>
      <c r="C1722" s="57"/>
      <c r="D1722" s="57"/>
      <c r="E1722" s="57"/>
      <c r="F1722" s="57"/>
      <c r="G1722" s="57"/>
      <c r="H1722" s="57"/>
      <c r="I1722" s="57"/>
      <c r="J1722" s="57"/>
      <c r="K1722" s="57"/>
      <c r="L1722" s="57"/>
      <c r="M1722" s="57"/>
      <c r="O1722" s="69"/>
      <c r="P1722" s="57"/>
    </row>
    <row r="1723" spans="1:16" x14ac:dyDescent="0.2">
      <c r="A1723" s="57"/>
      <c r="B1723" s="69"/>
      <c r="C1723" s="57"/>
      <c r="D1723" s="57"/>
      <c r="E1723" s="57"/>
      <c r="F1723" s="57"/>
      <c r="G1723" s="57"/>
      <c r="H1723" s="57"/>
      <c r="I1723" s="57"/>
      <c r="J1723" s="57"/>
      <c r="K1723" s="57"/>
      <c r="L1723" s="57"/>
      <c r="M1723" s="57"/>
      <c r="O1723" s="69"/>
      <c r="P1723" s="57"/>
    </row>
    <row r="1724" spans="1:16" x14ac:dyDescent="0.2">
      <c r="A1724" s="57"/>
      <c r="B1724" s="69"/>
      <c r="C1724" s="57"/>
      <c r="D1724" s="57"/>
      <c r="E1724" s="57"/>
      <c r="F1724" s="57"/>
      <c r="G1724" s="57"/>
      <c r="H1724" s="57"/>
      <c r="I1724" s="57"/>
      <c r="J1724" s="57"/>
      <c r="K1724" s="57"/>
      <c r="L1724" s="57"/>
      <c r="M1724" s="57"/>
      <c r="O1724" s="69"/>
      <c r="P1724" s="57"/>
    </row>
    <row r="1725" spans="1:16" x14ac:dyDescent="0.2">
      <c r="A1725" s="57"/>
      <c r="B1725" s="69"/>
      <c r="C1725" s="57"/>
      <c r="D1725" s="57"/>
      <c r="E1725" s="57"/>
      <c r="F1725" s="57"/>
      <c r="G1725" s="57"/>
      <c r="H1725" s="57"/>
      <c r="I1725" s="57"/>
      <c r="J1725" s="57"/>
      <c r="K1725" s="57"/>
      <c r="L1725" s="57"/>
      <c r="M1725" s="57"/>
      <c r="O1725" s="69"/>
      <c r="P1725" s="57"/>
    </row>
    <row r="1726" spans="1:16" x14ac:dyDescent="0.2">
      <c r="A1726" s="57"/>
      <c r="B1726" s="69"/>
      <c r="C1726" s="57"/>
      <c r="D1726" s="57"/>
      <c r="E1726" s="57"/>
      <c r="F1726" s="57"/>
      <c r="G1726" s="57"/>
      <c r="H1726" s="57"/>
      <c r="I1726" s="57"/>
      <c r="J1726" s="57"/>
      <c r="K1726" s="57"/>
      <c r="L1726" s="57"/>
      <c r="M1726" s="57"/>
      <c r="O1726" s="69"/>
      <c r="P1726" s="57"/>
    </row>
    <row r="1727" spans="1:16" x14ac:dyDescent="0.2">
      <c r="A1727" s="57"/>
      <c r="B1727" s="69"/>
      <c r="C1727" s="57"/>
      <c r="D1727" s="57"/>
      <c r="E1727" s="57"/>
      <c r="F1727" s="57"/>
      <c r="G1727" s="57"/>
      <c r="H1727" s="57"/>
      <c r="I1727" s="57"/>
      <c r="J1727" s="57"/>
      <c r="K1727" s="57"/>
      <c r="L1727" s="57"/>
      <c r="M1727" s="57"/>
      <c r="O1727" s="69"/>
      <c r="P1727" s="57"/>
    </row>
    <row r="1728" spans="1:16" x14ac:dyDescent="0.2">
      <c r="A1728" s="57"/>
      <c r="B1728" s="69"/>
      <c r="C1728" s="57"/>
      <c r="D1728" s="57"/>
      <c r="E1728" s="57"/>
      <c r="F1728" s="57"/>
      <c r="G1728" s="57"/>
      <c r="H1728" s="57"/>
      <c r="I1728" s="57"/>
      <c r="J1728" s="57"/>
      <c r="K1728" s="57"/>
      <c r="L1728" s="57"/>
      <c r="M1728" s="57"/>
      <c r="O1728" s="69"/>
      <c r="P1728" s="57"/>
    </row>
    <row r="1729" spans="1:16" x14ac:dyDescent="0.2">
      <c r="A1729" s="57"/>
      <c r="B1729" s="69"/>
      <c r="C1729" s="57"/>
      <c r="D1729" s="57"/>
      <c r="E1729" s="57"/>
      <c r="F1729" s="57"/>
      <c r="G1729" s="57"/>
      <c r="H1729" s="57"/>
      <c r="I1729" s="57"/>
      <c r="J1729" s="57"/>
      <c r="K1729" s="57"/>
      <c r="L1729" s="57"/>
      <c r="M1729" s="57"/>
      <c r="O1729" s="69"/>
      <c r="P1729" s="57"/>
    </row>
    <row r="1730" spans="1:16" x14ac:dyDescent="0.2">
      <c r="A1730" s="57"/>
      <c r="B1730" s="69"/>
      <c r="C1730" s="57"/>
      <c r="D1730" s="57"/>
      <c r="E1730" s="57"/>
      <c r="F1730" s="57"/>
      <c r="G1730" s="57"/>
      <c r="H1730" s="57"/>
      <c r="I1730" s="57"/>
      <c r="J1730" s="57"/>
      <c r="K1730" s="57"/>
      <c r="L1730" s="57"/>
      <c r="M1730" s="57"/>
      <c r="O1730" s="69"/>
      <c r="P1730" s="57"/>
    </row>
    <row r="1731" spans="1:16" x14ac:dyDescent="0.2">
      <c r="A1731" s="57"/>
      <c r="B1731" s="69"/>
      <c r="C1731" s="57"/>
      <c r="D1731" s="57"/>
      <c r="E1731" s="57"/>
      <c r="F1731" s="57"/>
      <c r="G1731" s="57"/>
      <c r="H1731" s="57"/>
      <c r="I1731" s="57"/>
      <c r="J1731" s="57"/>
      <c r="K1731" s="57"/>
      <c r="L1731" s="57"/>
      <c r="M1731" s="57"/>
      <c r="O1731" s="69"/>
      <c r="P1731" s="57"/>
    </row>
    <row r="1732" spans="1:16" x14ac:dyDescent="0.2">
      <c r="A1732" s="57"/>
      <c r="B1732" s="69"/>
      <c r="C1732" s="57"/>
      <c r="D1732" s="57"/>
      <c r="E1732" s="57"/>
      <c r="F1732" s="57"/>
      <c r="G1732" s="57"/>
      <c r="H1732" s="57"/>
      <c r="I1732" s="57"/>
      <c r="J1732" s="57"/>
      <c r="K1732" s="57"/>
      <c r="L1732" s="57"/>
      <c r="M1732" s="57"/>
      <c r="O1732" s="69"/>
      <c r="P1732" s="57"/>
    </row>
    <row r="1733" spans="1:16" x14ac:dyDescent="0.2">
      <c r="A1733" s="57"/>
      <c r="B1733" s="69"/>
      <c r="C1733" s="57"/>
      <c r="D1733" s="57"/>
      <c r="E1733" s="57"/>
      <c r="F1733" s="57"/>
      <c r="G1733" s="57"/>
      <c r="H1733" s="57"/>
      <c r="I1733" s="57"/>
      <c r="J1733" s="57"/>
      <c r="K1733" s="57"/>
      <c r="L1733" s="57"/>
      <c r="M1733" s="57"/>
      <c r="O1733" s="69"/>
      <c r="P1733" s="57"/>
    </row>
    <row r="1734" spans="1:16" x14ac:dyDescent="0.2">
      <c r="A1734" s="57"/>
      <c r="B1734" s="69"/>
      <c r="C1734" s="57"/>
      <c r="D1734" s="57"/>
      <c r="E1734" s="57"/>
      <c r="F1734" s="57"/>
      <c r="G1734" s="57"/>
      <c r="H1734" s="57"/>
      <c r="I1734" s="57"/>
      <c r="J1734" s="57"/>
      <c r="K1734" s="57"/>
      <c r="L1734" s="57"/>
      <c r="M1734" s="57"/>
      <c r="O1734" s="69"/>
      <c r="P1734" s="57"/>
    </row>
    <row r="1735" spans="1:16" x14ac:dyDescent="0.2">
      <c r="A1735" s="57"/>
      <c r="B1735" s="69"/>
      <c r="C1735" s="57"/>
      <c r="D1735" s="57"/>
      <c r="E1735" s="57"/>
      <c r="F1735" s="57"/>
      <c r="G1735" s="57"/>
      <c r="H1735" s="57"/>
      <c r="I1735" s="57"/>
      <c r="J1735" s="57"/>
      <c r="K1735" s="57"/>
      <c r="L1735" s="57"/>
      <c r="M1735" s="57"/>
      <c r="O1735" s="69"/>
      <c r="P1735" s="57"/>
    </row>
    <row r="1736" spans="1:16" x14ac:dyDescent="0.2">
      <c r="A1736" s="57"/>
      <c r="B1736" s="69"/>
      <c r="C1736" s="57"/>
      <c r="D1736" s="57"/>
      <c r="E1736" s="57"/>
      <c r="F1736" s="57"/>
      <c r="G1736" s="57"/>
      <c r="H1736" s="57"/>
      <c r="I1736" s="57"/>
      <c r="J1736" s="57"/>
      <c r="K1736" s="57"/>
      <c r="L1736" s="57"/>
      <c r="M1736" s="57"/>
      <c r="O1736" s="69"/>
      <c r="P1736" s="57"/>
    </row>
    <row r="1737" spans="1:16" x14ac:dyDescent="0.2">
      <c r="A1737" s="57"/>
      <c r="B1737" s="69"/>
      <c r="C1737" s="57"/>
      <c r="D1737" s="57"/>
      <c r="E1737" s="57"/>
      <c r="F1737" s="57"/>
      <c r="G1737" s="57"/>
      <c r="H1737" s="57"/>
      <c r="I1737" s="57"/>
      <c r="J1737" s="57"/>
      <c r="K1737" s="57"/>
      <c r="L1737" s="57"/>
      <c r="M1737" s="57"/>
      <c r="O1737" s="69"/>
      <c r="P1737" s="57"/>
    </row>
    <row r="1738" spans="1:16" x14ac:dyDescent="0.2">
      <c r="A1738" s="57"/>
      <c r="B1738" s="69"/>
      <c r="C1738" s="57"/>
      <c r="D1738" s="57"/>
      <c r="E1738" s="57"/>
      <c r="F1738" s="57"/>
      <c r="G1738" s="57"/>
      <c r="H1738" s="57"/>
      <c r="I1738" s="57"/>
      <c r="J1738" s="57"/>
      <c r="K1738" s="57"/>
      <c r="L1738" s="57"/>
      <c r="M1738" s="57"/>
      <c r="O1738" s="69"/>
      <c r="P1738" s="57"/>
    </row>
    <row r="1739" spans="1:16" x14ac:dyDescent="0.2">
      <c r="A1739" s="57"/>
      <c r="B1739" s="69"/>
      <c r="C1739" s="57"/>
      <c r="D1739" s="57"/>
      <c r="E1739" s="57"/>
      <c r="F1739" s="57"/>
      <c r="G1739" s="57"/>
      <c r="H1739" s="57"/>
      <c r="I1739" s="57"/>
      <c r="J1739" s="57"/>
      <c r="K1739" s="57"/>
      <c r="L1739" s="57"/>
      <c r="M1739" s="57"/>
      <c r="O1739" s="69"/>
      <c r="P1739" s="57"/>
    </row>
    <row r="1740" spans="1:16" x14ac:dyDescent="0.2">
      <c r="A1740" s="57"/>
      <c r="B1740" s="69"/>
      <c r="C1740" s="57"/>
      <c r="D1740" s="57"/>
      <c r="E1740" s="57"/>
      <c r="F1740" s="57"/>
      <c r="G1740" s="57"/>
      <c r="H1740" s="57"/>
      <c r="I1740" s="57"/>
      <c r="J1740" s="57"/>
      <c r="K1740" s="57"/>
      <c r="L1740" s="57"/>
      <c r="M1740" s="57"/>
      <c r="O1740" s="69"/>
      <c r="P1740" s="57"/>
    </row>
    <row r="1741" spans="1:16" x14ac:dyDescent="0.2">
      <c r="A1741" s="57"/>
      <c r="B1741" s="69"/>
      <c r="C1741" s="57"/>
      <c r="D1741" s="57"/>
      <c r="E1741" s="57"/>
      <c r="F1741" s="57"/>
      <c r="G1741" s="57"/>
      <c r="H1741" s="57"/>
      <c r="I1741" s="57"/>
      <c r="J1741" s="57"/>
      <c r="K1741" s="57"/>
      <c r="L1741" s="57"/>
      <c r="M1741" s="57"/>
      <c r="O1741" s="69"/>
      <c r="P1741" s="57"/>
    </row>
    <row r="1742" spans="1:16" x14ac:dyDescent="0.2">
      <c r="A1742" s="57"/>
      <c r="B1742" s="69"/>
      <c r="C1742" s="57"/>
      <c r="D1742" s="57"/>
      <c r="E1742" s="57"/>
      <c r="F1742" s="57"/>
      <c r="G1742" s="57"/>
      <c r="H1742" s="57"/>
      <c r="I1742" s="57"/>
      <c r="J1742" s="57"/>
      <c r="K1742" s="57"/>
      <c r="L1742" s="57"/>
      <c r="M1742" s="57"/>
      <c r="O1742" s="69"/>
      <c r="P1742" s="57"/>
    </row>
    <row r="1743" spans="1:16" x14ac:dyDescent="0.2">
      <c r="A1743" s="57"/>
      <c r="B1743" s="69"/>
      <c r="C1743" s="57"/>
      <c r="D1743" s="57"/>
      <c r="E1743" s="57"/>
      <c r="F1743" s="57"/>
      <c r="G1743" s="57"/>
      <c r="H1743" s="57"/>
      <c r="I1743" s="57"/>
      <c r="J1743" s="57"/>
      <c r="K1743" s="57"/>
      <c r="L1743" s="57"/>
      <c r="M1743" s="57"/>
      <c r="O1743" s="69"/>
      <c r="P1743" s="57"/>
    </row>
    <row r="1744" spans="1:16" x14ac:dyDescent="0.2">
      <c r="A1744" s="57"/>
      <c r="B1744" s="69"/>
      <c r="C1744" s="57"/>
      <c r="D1744" s="57"/>
      <c r="E1744" s="57"/>
      <c r="F1744" s="57"/>
      <c r="G1744" s="57"/>
      <c r="H1744" s="57"/>
      <c r="I1744" s="57"/>
      <c r="J1744" s="57"/>
      <c r="K1744" s="57"/>
      <c r="L1744" s="57"/>
      <c r="M1744" s="57"/>
      <c r="O1744" s="69"/>
      <c r="P1744" s="57"/>
    </row>
    <row r="1745" spans="1:16" x14ac:dyDescent="0.2">
      <c r="A1745" s="57"/>
      <c r="B1745" s="69"/>
      <c r="C1745" s="57"/>
      <c r="D1745" s="57"/>
      <c r="E1745" s="57"/>
      <c r="F1745" s="57"/>
      <c r="G1745" s="57"/>
      <c r="H1745" s="57"/>
      <c r="I1745" s="57"/>
      <c r="J1745" s="57"/>
      <c r="K1745" s="57"/>
      <c r="L1745" s="57"/>
      <c r="M1745" s="57"/>
      <c r="O1745" s="69"/>
      <c r="P1745" s="57"/>
    </row>
    <row r="1746" spans="1:16" x14ac:dyDescent="0.2">
      <c r="A1746" s="57"/>
      <c r="B1746" s="69"/>
      <c r="C1746" s="57"/>
      <c r="D1746" s="57"/>
      <c r="E1746" s="57"/>
      <c r="F1746" s="57"/>
      <c r="G1746" s="57"/>
      <c r="H1746" s="57"/>
      <c r="I1746" s="57"/>
      <c r="J1746" s="57"/>
      <c r="K1746" s="57"/>
      <c r="L1746" s="57"/>
      <c r="M1746" s="57"/>
      <c r="O1746" s="69"/>
      <c r="P1746" s="57"/>
    </row>
    <row r="1747" spans="1:16" x14ac:dyDescent="0.2">
      <c r="A1747" s="57"/>
      <c r="B1747" s="69"/>
      <c r="C1747" s="57"/>
      <c r="D1747" s="57"/>
      <c r="E1747" s="57"/>
      <c r="F1747" s="57"/>
      <c r="G1747" s="57"/>
      <c r="H1747" s="57"/>
      <c r="I1747" s="57"/>
      <c r="J1747" s="57"/>
      <c r="K1747" s="57"/>
      <c r="L1747" s="57"/>
      <c r="M1747" s="57"/>
      <c r="O1747" s="69"/>
      <c r="P1747" s="57"/>
    </row>
    <row r="1748" spans="1:16" x14ac:dyDescent="0.2">
      <c r="A1748" s="57"/>
      <c r="B1748" s="69"/>
      <c r="C1748" s="57"/>
      <c r="D1748" s="57"/>
      <c r="E1748" s="57"/>
      <c r="F1748" s="57"/>
      <c r="G1748" s="57"/>
      <c r="H1748" s="57"/>
      <c r="I1748" s="57"/>
      <c r="J1748" s="57"/>
      <c r="K1748" s="57"/>
      <c r="L1748" s="57"/>
      <c r="M1748" s="57"/>
      <c r="O1748" s="69"/>
      <c r="P1748" s="57"/>
    </row>
    <row r="1749" spans="1:16" x14ac:dyDescent="0.2">
      <c r="A1749" s="57"/>
      <c r="B1749" s="69"/>
      <c r="C1749" s="57"/>
      <c r="D1749" s="57"/>
      <c r="E1749" s="57"/>
      <c r="F1749" s="57"/>
      <c r="G1749" s="57"/>
      <c r="H1749" s="57"/>
      <c r="I1749" s="57"/>
      <c r="J1749" s="57"/>
      <c r="K1749" s="57"/>
      <c r="L1749" s="57"/>
      <c r="M1749" s="57"/>
      <c r="O1749" s="69"/>
      <c r="P1749" s="57"/>
    </row>
    <row r="1750" spans="1:16" x14ac:dyDescent="0.2">
      <c r="A1750" s="57"/>
      <c r="B1750" s="69"/>
      <c r="C1750" s="57"/>
      <c r="D1750" s="57"/>
      <c r="E1750" s="57"/>
      <c r="F1750" s="57"/>
      <c r="G1750" s="57"/>
      <c r="H1750" s="57"/>
      <c r="I1750" s="57"/>
      <c r="J1750" s="57"/>
      <c r="K1750" s="57"/>
      <c r="L1750" s="57"/>
      <c r="M1750" s="57"/>
      <c r="O1750" s="69"/>
      <c r="P1750" s="57"/>
    </row>
    <row r="1751" spans="1:16" x14ac:dyDescent="0.2">
      <c r="A1751" s="57"/>
      <c r="B1751" s="69"/>
      <c r="C1751" s="57"/>
      <c r="D1751" s="57"/>
      <c r="E1751" s="57"/>
      <c r="F1751" s="57"/>
      <c r="G1751" s="57"/>
      <c r="H1751" s="57"/>
      <c r="I1751" s="57"/>
      <c r="J1751" s="57"/>
      <c r="K1751" s="57"/>
      <c r="L1751" s="57"/>
      <c r="M1751" s="57"/>
      <c r="O1751" s="69"/>
      <c r="P1751" s="57"/>
    </row>
    <row r="1752" spans="1:16" x14ac:dyDescent="0.2">
      <c r="A1752" s="57"/>
      <c r="B1752" s="69"/>
      <c r="C1752" s="57"/>
      <c r="D1752" s="57"/>
      <c r="E1752" s="57"/>
      <c r="F1752" s="57"/>
      <c r="G1752" s="57"/>
      <c r="H1752" s="57"/>
      <c r="I1752" s="57"/>
      <c r="J1752" s="57"/>
      <c r="K1752" s="57"/>
      <c r="L1752" s="57"/>
      <c r="M1752" s="57"/>
      <c r="O1752" s="69"/>
      <c r="P1752" s="57"/>
    </row>
    <row r="1753" spans="1:16" x14ac:dyDescent="0.2">
      <c r="A1753" s="57"/>
      <c r="B1753" s="69"/>
      <c r="C1753" s="57"/>
      <c r="D1753" s="57"/>
      <c r="E1753" s="57"/>
      <c r="F1753" s="57"/>
      <c r="G1753" s="57"/>
      <c r="H1753" s="57"/>
      <c r="I1753" s="57"/>
      <c r="J1753" s="57"/>
      <c r="K1753" s="57"/>
      <c r="L1753" s="57"/>
      <c r="M1753" s="57"/>
      <c r="O1753" s="69"/>
      <c r="P1753" s="57"/>
    </row>
    <row r="1754" spans="1:16" x14ac:dyDescent="0.2">
      <c r="A1754" s="57"/>
      <c r="B1754" s="69"/>
      <c r="C1754" s="57"/>
      <c r="D1754" s="57"/>
      <c r="E1754" s="57"/>
      <c r="F1754" s="57"/>
      <c r="G1754" s="57"/>
      <c r="H1754" s="57"/>
      <c r="I1754" s="57"/>
      <c r="J1754" s="57"/>
      <c r="K1754" s="57"/>
      <c r="L1754" s="57"/>
      <c r="M1754" s="57"/>
      <c r="O1754" s="69"/>
      <c r="P1754" s="57"/>
    </row>
    <row r="1755" spans="1:16" x14ac:dyDescent="0.2">
      <c r="A1755" s="57"/>
      <c r="B1755" s="69"/>
      <c r="C1755" s="57"/>
      <c r="D1755" s="57"/>
      <c r="E1755" s="57"/>
      <c r="F1755" s="57"/>
      <c r="G1755" s="57"/>
      <c r="H1755" s="57"/>
      <c r="I1755" s="57"/>
      <c r="J1755" s="57"/>
      <c r="K1755" s="57"/>
      <c r="L1755" s="57"/>
      <c r="M1755" s="57"/>
      <c r="O1755" s="69"/>
      <c r="P1755" s="57"/>
    </row>
    <row r="1756" spans="1:16" x14ac:dyDescent="0.2">
      <c r="A1756" s="57"/>
      <c r="B1756" s="69"/>
      <c r="C1756" s="57"/>
      <c r="D1756" s="57"/>
      <c r="E1756" s="57"/>
      <c r="F1756" s="57"/>
      <c r="G1756" s="57"/>
      <c r="H1756" s="57"/>
      <c r="I1756" s="57"/>
      <c r="J1756" s="57"/>
      <c r="K1756" s="57"/>
      <c r="L1756" s="57"/>
      <c r="M1756" s="57"/>
      <c r="O1756" s="69"/>
      <c r="P1756" s="57"/>
    </row>
    <row r="1757" spans="1:16" x14ac:dyDescent="0.2">
      <c r="A1757" s="57"/>
      <c r="B1757" s="69"/>
      <c r="C1757" s="57"/>
      <c r="D1757" s="57"/>
      <c r="E1757" s="57"/>
      <c r="F1757" s="57"/>
      <c r="G1757" s="57"/>
      <c r="H1757" s="57"/>
      <c r="I1757" s="57"/>
      <c r="J1757" s="57"/>
      <c r="K1757" s="57"/>
      <c r="L1757" s="57"/>
      <c r="M1757" s="57"/>
      <c r="O1757" s="69"/>
      <c r="P1757" s="57"/>
    </row>
    <row r="1758" spans="1:16" x14ac:dyDescent="0.2">
      <c r="A1758" s="57"/>
      <c r="B1758" s="69"/>
      <c r="C1758" s="57"/>
      <c r="D1758" s="57"/>
      <c r="E1758" s="57"/>
      <c r="F1758" s="57"/>
      <c r="G1758" s="57"/>
      <c r="H1758" s="57"/>
      <c r="I1758" s="57"/>
      <c r="J1758" s="57"/>
      <c r="K1758" s="57"/>
      <c r="L1758" s="57"/>
      <c r="M1758" s="57"/>
      <c r="O1758" s="69"/>
      <c r="P1758" s="57"/>
    </row>
    <row r="1759" spans="1:16" x14ac:dyDescent="0.2">
      <c r="A1759" s="57"/>
      <c r="B1759" s="69"/>
      <c r="C1759" s="57"/>
      <c r="D1759" s="57"/>
      <c r="E1759" s="57"/>
      <c r="F1759" s="57"/>
      <c r="G1759" s="57"/>
      <c r="H1759" s="57"/>
      <c r="I1759" s="57"/>
      <c r="J1759" s="57"/>
      <c r="K1759" s="57"/>
      <c r="L1759" s="57"/>
      <c r="M1759" s="57"/>
      <c r="O1759" s="69"/>
      <c r="P1759" s="57"/>
    </row>
    <row r="1760" spans="1:16" x14ac:dyDescent="0.2">
      <c r="A1760" s="57"/>
      <c r="B1760" s="69"/>
      <c r="C1760" s="57"/>
      <c r="D1760" s="57"/>
      <c r="E1760" s="57"/>
      <c r="F1760" s="57"/>
      <c r="G1760" s="57"/>
      <c r="H1760" s="57"/>
      <c r="I1760" s="57"/>
      <c r="J1760" s="57"/>
      <c r="K1760" s="57"/>
      <c r="L1760" s="57"/>
      <c r="M1760" s="57"/>
      <c r="O1760" s="69"/>
      <c r="P1760" s="57"/>
    </row>
    <row r="1761" spans="1:16" x14ac:dyDescent="0.2">
      <c r="A1761" s="57"/>
      <c r="B1761" s="69"/>
      <c r="C1761" s="57"/>
      <c r="D1761" s="57"/>
      <c r="E1761" s="57"/>
      <c r="F1761" s="57"/>
      <c r="G1761" s="57"/>
      <c r="H1761" s="57"/>
      <c r="I1761" s="57"/>
      <c r="J1761" s="57"/>
      <c r="K1761" s="57"/>
      <c r="L1761" s="57"/>
      <c r="M1761" s="57"/>
      <c r="O1761" s="69"/>
      <c r="P1761" s="57"/>
    </row>
    <row r="1762" spans="1:16" x14ac:dyDescent="0.2">
      <c r="A1762" s="57"/>
      <c r="B1762" s="69"/>
      <c r="C1762" s="57"/>
      <c r="D1762" s="57"/>
      <c r="E1762" s="57"/>
      <c r="F1762" s="57"/>
      <c r="G1762" s="57"/>
      <c r="H1762" s="57"/>
      <c r="I1762" s="57"/>
      <c r="J1762" s="57"/>
      <c r="K1762" s="57"/>
      <c r="L1762" s="57"/>
      <c r="M1762" s="57"/>
      <c r="O1762" s="69"/>
      <c r="P1762" s="57"/>
    </row>
    <row r="1763" spans="1:16" x14ac:dyDescent="0.2">
      <c r="A1763" s="57"/>
      <c r="B1763" s="69"/>
      <c r="C1763" s="57"/>
      <c r="D1763" s="57"/>
      <c r="E1763" s="57"/>
      <c r="F1763" s="57"/>
      <c r="G1763" s="57"/>
      <c r="H1763" s="57"/>
      <c r="I1763" s="57"/>
      <c r="J1763" s="57"/>
      <c r="K1763" s="57"/>
      <c r="L1763" s="57"/>
      <c r="M1763" s="57"/>
      <c r="O1763" s="69"/>
      <c r="P1763" s="57"/>
    </row>
    <row r="1764" spans="1:16" x14ac:dyDescent="0.2">
      <c r="A1764" s="57"/>
      <c r="B1764" s="69"/>
      <c r="C1764" s="57"/>
      <c r="D1764" s="57"/>
      <c r="E1764" s="57"/>
      <c r="F1764" s="57"/>
      <c r="G1764" s="57"/>
      <c r="H1764" s="57"/>
      <c r="I1764" s="57"/>
      <c r="J1764" s="57"/>
      <c r="K1764" s="57"/>
      <c r="L1764" s="57"/>
      <c r="M1764" s="57"/>
      <c r="O1764" s="69"/>
      <c r="P1764" s="57"/>
    </row>
    <row r="1765" spans="1:16" x14ac:dyDescent="0.2">
      <c r="A1765" s="57"/>
      <c r="B1765" s="69"/>
      <c r="C1765" s="57"/>
      <c r="D1765" s="57"/>
      <c r="E1765" s="57"/>
      <c r="F1765" s="57"/>
      <c r="G1765" s="57"/>
      <c r="H1765" s="57"/>
      <c r="I1765" s="57"/>
      <c r="J1765" s="57"/>
      <c r="K1765" s="57"/>
      <c r="L1765" s="57"/>
      <c r="M1765" s="57"/>
      <c r="O1765" s="69"/>
      <c r="P1765" s="57"/>
    </row>
    <row r="1766" spans="1:16" x14ac:dyDescent="0.2">
      <c r="A1766" s="57"/>
      <c r="B1766" s="69"/>
      <c r="C1766" s="57"/>
      <c r="D1766" s="57"/>
      <c r="E1766" s="57"/>
      <c r="F1766" s="57"/>
      <c r="G1766" s="57"/>
      <c r="H1766" s="57"/>
      <c r="I1766" s="57"/>
      <c r="J1766" s="57"/>
      <c r="K1766" s="57"/>
      <c r="L1766" s="57"/>
      <c r="M1766" s="57"/>
      <c r="O1766" s="69"/>
      <c r="P1766" s="57"/>
    </row>
    <row r="1767" spans="1:16" x14ac:dyDescent="0.2">
      <c r="A1767" s="57"/>
      <c r="B1767" s="69"/>
      <c r="C1767" s="57"/>
      <c r="D1767" s="57"/>
      <c r="E1767" s="57"/>
      <c r="F1767" s="57"/>
      <c r="G1767" s="57"/>
      <c r="H1767" s="57"/>
      <c r="I1767" s="57"/>
      <c r="J1767" s="57"/>
      <c r="K1767" s="57"/>
      <c r="L1767" s="57"/>
      <c r="M1767" s="57"/>
      <c r="O1767" s="69"/>
      <c r="P1767" s="57"/>
    </row>
    <row r="1768" spans="1:16" x14ac:dyDescent="0.2">
      <c r="A1768" s="57"/>
      <c r="B1768" s="69"/>
      <c r="C1768" s="57"/>
      <c r="D1768" s="57"/>
      <c r="E1768" s="57"/>
      <c r="F1768" s="57"/>
      <c r="G1768" s="57"/>
      <c r="H1768" s="57"/>
      <c r="I1768" s="57"/>
      <c r="J1768" s="57"/>
      <c r="K1768" s="57"/>
      <c r="L1768" s="57"/>
      <c r="M1768" s="57"/>
      <c r="O1768" s="69"/>
      <c r="P1768" s="57"/>
    </row>
    <row r="1769" spans="1:16" x14ac:dyDescent="0.2">
      <c r="A1769" s="57"/>
      <c r="B1769" s="69"/>
      <c r="C1769" s="57"/>
      <c r="D1769" s="57"/>
      <c r="E1769" s="57"/>
      <c r="F1769" s="57"/>
      <c r="G1769" s="57"/>
      <c r="H1769" s="57"/>
      <c r="I1769" s="57"/>
      <c r="J1769" s="57"/>
      <c r="K1769" s="57"/>
      <c r="L1769" s="57"/>
      <c r="M1769" s="57"/>
      <c r="O1769" s="69"/>
      <c r="P1769" s="57"/>
    </row>
    <row r="1770" spans="1:16" x14ac:dyDescent="0.2">
      <c r="A1770" s="57"/>
      <c r="B1770" s="69"/>
      <c r="C1770" s="57"/>
      <c r="D1770" s="57"/>
      <c r="E1770" s="57"/>
      <c r="F1770" s="57"/>
      <c r="G1770" s="57"/>
      <c r="H1770" s="57"/>
      <c r="I1770" s="57"/>
      <c r="J1770" s="57"/>
      <c r="K1770" s="57"/>
      <c r="L1770" s="57"/>
      <c r="M1770" s="57"/>
      <c r="O1770" s="69"/>
      <c r="P1770" s="57"/>
    </row>
    <row r="1771" spans="1:16" x14ac:dyDescent="0.2">
      <c r="A1771" s="57"/>
      <c r="B1771" s="69"/>
      <c r="C1771" s="57"/>
      <c r="D1771" s="57"/>
      <c r="E1771" s="57"/>
      <c r="F1771" s="57"/>
      <c r="G1771" s="57"/>
      <c r="H1771" s="57"/>
      <c r="I1771" s="57"/>
      <c r="J1771" s="57"/>
      <c r="K1771" s="57"/>
      <c r="L1771" s="57"/>
      <c r="M1771" s="57"/>
      <c r="O1771" s="69"/>
      <c r="P1771" s="57"/>
    </row>
    <row r="1772" spans="1:16" x14ac:dyDescent="0.2">
      <c r="A1772" s="57"/>
      <c r="B1772" s="69"/>
      <c r="C1772" s="57"/>
      <c r="D1772" s="57"/>
      <c r="E1772" s="57"/>
      <c r="F1772" s="57"/>
      <c r="G1772" s="57"/>
      <c r="H1772" s="57"/>
      <c r="I1772" s="57"/>
      <c r="J1772" s="57"/>
      <c r="K1772" s="57"/>
      <c r="L1772" s="57"/>
      <c r="M1772" s="57"/>
      <c r="O1772" s="69"/>
      <c r="P1772" s="57"/>
    </row>
    <row r="1773" spans="1:16" x14ac:dyDescent="0.2">
      <c r="A1773" s="57"/>
      <c r="B1773" s="69"/>
      <c r="C1773" s="57"/>
      <c r="D1773" s="57"/>
      <c r="E1773" s="57"/>
      <c r="F1773" s="57"/>
      <c r="G1773" s="57"/>
      <c r="H1773" s="57"/>
      <c r="I1773" s="57"/>
      <c r="J1773" s="57"/>
      <c r="K1773" s="57"/>
      <c r="L1773" s="57"/>
      <c r="M1773" s="57"/>
      <c r="O1773" s="69"/>
      <c r="P1773" s="57"/>
    </row>
    <row r="1774" spans="1:16" x14ac:dyDescent="0.2">
      <c r="A1774" s="57"/>
      <c r="B1774" s="69"/>
      <c r="C1774" s="57"/>
      <c r="D1774" s="57"/>
      <c r="E1774" s="57"/>
      <c r="F1774" s="57"/>
      <c r="G1774" s="57"/>
      <c r="H1774" s="57"/>
      <c r="I1774" s="57"/>
      <c r="J1774" s="57"/>
      <c r="K1774" s="57"/>
      <c r="L1774" s="57"/>
      <c r="M1774" s="57"/>
      <c r="O1774" s="69"/>
      <c r="P1774" s="57"/>
    </row>
    <row r="1775" spans="1:16" x14ac:dyDescent="0.2">
      <c r="A1775" s="57"/>
      <c r="B1775" s="69"/>
      <c r="C1775" s="57"/>
      <c r="D1775" s="57"/>
      <c r="E1775" s="57"/>
      <c r="F1775" s="57"/>
      <c r="G1775" s="57"/>
      <c r="H1775" s="57"/>
      <c r="I1775" s="57"/>
      <c r="J1775" s="57"/>
      <c r="K1775" s="57"/>
      <c r="L1775" s="57"/>
      <c r="M1775" s="57"/>
      <c r="O1775" s="69"/>
      <c r="P1775" s="57"/>
    </row>
    <row r="1776" spans="1:16" x14ac:dyDescent="0.2">
      <c r="A1776" s="57"/>
      <c r="B1776" s="69"/>
      <c r="C1776" s="57"/>
      <c r="D1776" s="57"/>
      <c r="E1776" s="57"/>
      <c r="F1776" s="57"/>
      <c r="G1776" s="57"/>
      <c r="H1776" s="57"/>
      <c r="I1776" s="57"/>
      <c r="J1776" s="57"/>
      <c r="K1776" s="57"/>
      <c r="L1776" s="57"/>
      <c r="M1776" s="57"/>
      <c r="O1776" s="69"/>
      <c r="P1776" s="57"/>
    </row>
    <row r="1777" spans="1:16" x14ac:dyDescent="0.2">
      <c r="A1777" s="57"/>
      <c r="B1777" s="69"/>
      <c r="C1777" s="57"/>
      <c r="D1777" s="57"/>
      <c r="E1777" s="57"/>
      <c r="F1777" s="57"/>
      <c r="G1777" s="57"/>
      <c r="H1777" s="57"/>
      <c r="I1777" s="57"/>
      <c r="J1777" s="57"/>
      <c r="K1777" s="57"/>
      <c r="L1777" s="57"/>
      <c r="M1777" s="57"/>
      <c r="O1777" s="69"/>
      <c r="P1777" s="57"/>
    </row>
    <row r="1778" spans="1:16" x14ac:dyDescent="0.2">
      <c r="A1778" s="57"/>
      <c r="B1778" s="69"/>
      <c r="C1778" s="57"/>
      <c r="D1778" s="57"/>
      <c r="E1778" s="57"/>
      <c r="F1778" s="57"/>
      <c r="G1778" s="57"/>
      <c r="H1778" s="57"/>
      <c r="I1778" s="57"/>
      <c r="J1778" s="57"/>
      <c r="K1778" s="57"/>
      <c r="L1778" s="57"/>
      <c r="M1778" s="57"/>
      <c r="O1778" s="69"/>
      <c r="P1778" s="57"/>
    </row>
    <row r="1779" spans="1:16" x14ac:dyDescent="0.2">
      <c r="A1779" s="57"/>
      <c r="B1779" s="69"/>
      <c r="C1779" s="57"/>
      <c r="D1779" s="57"/>
      <c r="E1779" s="57"/>
      <c r="F1779" s="57"/>
      <c r="G1779" s="57"/>
      <c r="H1779" s="57"/>
      <c r="I1779" s="57"/>
      <c r="J1779" s="57"/>
      <c r="K1779" s="57"/>
      <c r="L1779" s="57"/>
      <c r="M1779" s="57"/>
      <c r="O1779" s="69"/>
      <c r="P1779" s="57"/>
    </row>
    <row r="1780" spans="1:16" x14ac:dyDescent="0.2">
      <c r="A1780" s="57"/>
      <c r="B1780" s="69"/>
      <c r="C1780" s="57"/>
      <c r="D1780" s="57"/>
      <c r="E1780" s="57"/>
      <c r="F1780" s="57"/>
      <c r="G1780" s="57"/>
      <c r="H1780" s="57"/>
      <c r="I1780" s="57"/>
      <c r="J1780" s="57"/>
      <c r="K1780" s="57"/>
      <c r="L1780" s="57"/>
      <c r="M1780" s="57"/>
      <c r="O1780" s="69"/>
      <c r="P1780" s="57"/>
    </row>
    <row r="1781" spans="1:16" x14ac:dyDescent="0.2">
      <c r="A1781" s="57"/>
      <c r="B1781" s="69"/>
      <c r="C1781" s="57"/>
      <c r="D1781" s="57"/>
      <c r="E1781" s="57"/>
      <c r="F1781" s="57"/>
      <c r="G1781" s="57"/>
      <c r="H1781" s="57"/>
      <c r="I1781" s="57"/>
      <c r="J1781" s="57"/>
      <c r="K1781" s="57"/>
      <c r="L1781" s="57"/>
      <c r="M1781" s="57"/>
      <c r="O1781" s="69"/>
      <c r="P1781" s="57"/>
    </row>
    <row r="1782" spans="1:16" x14ac:dyDescent="0.2">
      <c r="A1782" s="57"/>
      <c r="B1782" s="69"/>
      <c r="C1782" s="57"/>
      <c r="D1782" s="57"/>
      <c r="E1782" s="57"/>
      <c r="F1782" s="57"/>
      <c r="G1782" s="57"/>
      <c r="H1782" s="57"/>
      <c r="I1782" s="57"/>
      <c r="J1782" s="57"/>
      <c r="K1782" s="57"/>
      <c r="L1782" s="57"/>
      <c r="M1782" s="57"/>
      <c r="O1782" s="69"/>
      <c r="P1782" s="57"/>
    </row>
    <row r="1783" spans="1:16" x14ac:dyDescent="0.2">
      <c r="A1783" s="57"/>
      <c r="B1783" s="69"/>
      <c r="C1783" s="57"/>
      <c r="D1783" s="57"/>
      <c r="E1783" s="57"/>
      <c r="F1783" s="57"/>
      <c r="G1783" s="57"/>
      <c r="H1783" s="57"/>
      <c r="I1783" s="57"/>
      <c r="J1783" s="57"/>
      <c r="K1783" s="57"/>
      <c r="L1783" s="57"/>
      <c r="M1783" s="57"/>
      <c r="O1783" s="69"/>
      <c r="P1783" s="57"/>
    </row>
    <row r="1784" spans="1:16" x14ac:dyDescent="0.2">
      <c r="A1784" s="57"/>
      <c r="B1784" s="69"/>
      <c r="C1784" s="57"/>
      <c r="D1784" s="57"/>
      <c r="E1784" s="57"/>
      <c r="F1784" s="57"/>
      <c r="G1784" s="57"/>
      <c r="H1784" s="57"/>
      <c r="I1784" s="57"/>
      <c r="J1784" s="57"/>
      <c r="K1784" s="57"/>
      <c r="L1784" s="57"/>
      <c r="M1784" s="57"/>
      <c r="O1784" s="69"/>
      <c r="P1784" s="57"/>
    </row>
    <row r="1785" spans="1:16" x14ac:dyDescent="0.2">
      <c r="A1785" s="57"/>
      <c r="B1785" s="69"/>
      <c r="C1785" s="57"/>
      <c r="D1785" s="57"/>
      <c r="E1785" s="57"/>
      <c r="F1785" s="57"/>
      <c r="G1785" s="57"/>
      <c r="H1785" s="57"/>
      <c r="I1785" s="57"/>
      <c r="J1785" s="57"/>
      <c r="K1785" s="57"/>
      <c r="L1785" s="57"/>
      <c r="M1785" s="57"/>
      <c r="O1785" s="69"/>
      <c r="P1785" s="57"/>
    </row>
    <row r="1786" spans="1:16" x14ac:dyDescent="0.2">
      <c r="A1786" s="57"/>
      <c r="B1786" s="69"/>
      <c r="C1786" s="57"/>
      <c r="D1786" s="57"/>
      <c r="E1786" s="57"/>
      <c r="F1786" s="57"/>
      <c r="G1786" s="57"/>
      <c r="H1786" s="57"/>
      <c r="I1786" s="57"/>
      <c r="J1786" s="57"/>
      <c r="K1786" s="57"/>
      <c r="L1786" s="57"/>
      <c r="M1786" s="57"/>
      <c r="O1786" s="69"/>
      <c r="P1786" s="57"/>
    </row>
    <row r="1787" spans="1:16" x14ac:dyDescent="0.2">
      <c r="A1787" s="57"/>
      <c r="B1787" s="69"/>
      <c r="C1787" s="57"/>
      <c r="D1787" s="57"/>
      <c r="E1787" s="57"/>
      <c r="F1787" s="57"/>
      <c r="G1787" s="57"/>
      <c r="H1787" s="57"/>
      <c r="I1787" s="57"/>
      <c r="J1787" s="57"/>
      <c r="K1787" s="57"/>
      <c r="L1787" s="57"/>
      <c r="M1787" s="57"/>
      <c r="O1787" s="69"/>
      <c r="P1787" s="57"/>
    </row>
    <row r="1788" spans="1:16" x14ac:dyDescent="0.2">
      <c r="A1788" s="57"/>
      <c r="B1788" s="69"/>
      <c r="C1788" s="57"/>
      <c r="D1788" s="57"/>
      <c r="E1788" s="57"/>
      <c r="F1788" s="57"/>
      <c r="G1788" s="57"/>
      <c r="H1788" s="57"/>
      <c r="I1788" s="57"/>
      <c r="J1788" s="57"/>
      <c r="K1788" s="57"/>
      <c r="L1788" s="57"/>
      <c r="M1788" s="57"/>
      <c r="O1788" s="69"/>
      <c r="P1788" s="57"/>
    </row>
    <row r="1789" spans="1:16" x14ac:dyDescent="0.2">
      <c r="A1789" s="57"/>
      <c r="B1789" s="69"/>
      <c r="C1789" s="57"/>
      <c r="D1789" s="57"/>
      <c r="E1789" s="57"/>
      <c r="F1789" s="57"/>
      <c r="G1789" s="57"/>
      <c r="H1789" s="57"/>
      <c r="I1789" s="57"/>
      <c r="J1789" s="57"/>
      <c r="K1789" s="57"/>
      <c r="L1789" s="57"/>
      <c r="M1789" s="57"/>
      <c r="O1789" s="69"/>
      <c r="P1789" s="57"/>
    </row>
    <row r="1790" spans="1:16" x14ac:dyDescent="0.2">
      <c r="A1790" s="57"/>
      <c r="B1790" s="69"/>
      <c r="C1790" s="57"/>
      <c r="D1790" s="57"/>
      <c r="E1790" s="57"/>
      <c r="F1790" s="57"/>
      <c r="G1790" s="57"/>
      <c r="H1790" s="57"/>
      <c r="I1790" s="57"/>
      <c r="J1790" s="57"/>
      <c r="K1790" s="57"/>
      <c r="L1790" s="57"/>
      <c r="M1790" s="57"/>
      <c r="O1790" s="69"/>
      <c r="P1790" s="57"/>
    </row>
    <row r="1791" spans="1:16" x14ac:dyDescent="0.2">
      <c r="A1791" s="57"/>
      <c r="B1791" s="69"/>
      <c r="C1791" s="57"/>
      <c r="D1791" s="57"/>
      <c r="E1791" s="57"/>
      <c r="F1791" s="57"/>
      <c r="G1791" s="57"/>
      <c r="H1791" s="57"/>
      <c r="I1791" s="57"/>
      <c r="J1791" s="57"/>
      <c r="K1791" s="57"/>
      <c r="L1791" s="57"/>
      <c r="M1791" s="57"/>
      <c r="O1791" s="69"/>
      <c r="P1791" s="57"/>
    </row>
    <row r="1792" spans="1:16" x14ac:dyDescent="0.2">
      <c r="A1792" s="57"/>
      <c r="B1792" s="69"/>
      <c r="C1792" s="57"/>
      <c r="D1792" s="57"/>
      <c r="E1792" s="57"/>
      <c r="F1792" s="57"/>
      <c r="G1792" s="57"/>
      <c r="H1792" s="57"/>
      <c r="I1792" s="57"/>
      <c r="J1792" s="57"/>
      <c r="K1792" s="57"/>
      <c r="L1792" s="57"/>
      <c r="M1792" s="57"/>
      <c r="O1792" s="69"/>
      <c r="P1792" s="57"/>
    </row>
    <row r="1793" spans="1:16" x14ac:dyDescent="0.2">
      <c r="A1793" s="57"/>
      <c r="B1793" s="69"/>
      <c r="C1793" s="57"/>
      <c r="D1793" s="57"/>
      <c r="E1793" s="57"/>
      <c r="F1793" s="57"/>
      <c r="G1793" s="57"/>
      <c r="H1793" s="57"/>
      <c r="I1793" s="57"/>
      <c r="J1793" s="57"/>
      <c r="K1793" s="57"/>
      <c r="L1793" s="57"/>
      <c r="M1793" s="57"/>
      <c r="O1793" s="69"/>
      <c r="P1793" s="57"/>
    </row>
    <row r="1794" spans="1:16" x14ac:dyDescent="0.2">
      <c r="A1794" s="57"/>
      <c r="B1794" s="69"/>
      <c r="C1794" s="57"/>
      <c r="D1794" s="57"/>
      <c r="E1794" s="57"/>
      <c r="F1794" s="57"/>
      <c r="G1794" s="57"/>
      <c r="H1794" s="57"/>
      <c r="I1794" s="57"/>
      <c r="J1794" s="57"/>
      <c r="K1794" s="57"/>
      <c r="L1794" s="57"/>
      <c r="M1794" s="57"/>
      <c r="O1794" s="69"/>
      <c r="P1794" s="57"/>
    </row>
    <row r="1795" spans="1:16" x14ac:dyDescent="0.2">
      <c r="A1795" s="57"/>
      <c r="B1795" s="69"/>
      <c r="C1795" s="57"/>
      <c r="D1795" s="57"/>
      <c r="E1795" s="57"/>
      <c r="F1795" s="57"/>
      <c r="G1795" s="57"/>
      <c r="H1795" s="57"/>
      <c r="I1795" s="57"/>
      <c r="J1795" s="57"/>
      <c r="K1795" s="57"/>
      <c r="L1795" s="57"/>
      <c r="M1795" s="57"/>
      <c r="O1795" s="69"/>
      <c r="P1795" s="57"/>
    </row>
    <row r="1796" spans="1:16" x14ac:dyDescent="0.2">
      <c r="A1796" s="57"/>
      <c r="B1796" s="69"/>
      <c r="C1796" s="57"/>
      <c r="D1796" s="57"/>
      <c r="E1796" s="57"/>
      <c r="F1796" s="57"/>
      <c r="G1796" s="57"/>
      <c r="H1796" s="57"/>
      <c r="I1796" s="57"/>
      <c r="J1796" s="57"/>
      <c r="K1796" s="57"/>
      <c r="L1796" s="57"/>
      <c r="M1796" s="57"/>
      <c r="O1796" s="69"/>
      <c r="P1796" s="57"/>
    </row>
    <row r="1797" spans="1:16" x14ac:dyDescent="0.2">
      <c r="A1797" s="57"/>
      <c r="B1797" s="69"/>
      <c r="C1797" s="57"/>
      <c r="D1797" s="57"/>
      <c r="E1797" s="57"/>
      <c r="F1797" s="57"/>
      <c r="G1797" s="57"/>
      <c r="H1797" s="57"/>
      <c r="I1797" s="57"/>
      <c r="J1797" s="57"/>
      <c r="K1797" s="57"/>
      <c r="L1797" s="57"/>
      <c r="M1797" s="57"/>
      <c r="O1797" s="69"/>
      <c r="P1797" s="57"/>
    </row>
    <row r="1798" spans="1:16" x14ac:dyDescent="0.2">
      <c r="A1798" s="57"/>
      <c r="B1798" s="69"/>
      <c r="C1798" s="57"/>
      <c r="D1798" s="57"/>
      <c r="E1798" s="57"/>
      <c r="F1798" s="57"/>
      <c r="G1798" s="57"/>
      <c r="H1798" s="57"/>
      <c r="I1798" s="57"/>
      <c r="J1798" s="57"/>
      <c r="K1798" s="57"/>
      <c r="L1798" s="57"/>
      <c r="M1798" s="57"/>
      <c r="O1798" s="69"/>
      <c r="P1798" s="57"/>
    </row>
    <row r="1799" spans="1:16" x14ac:dyDescent="0.2">
      <c r="A1799" s="57"/>
      <c r="B1799" s="69"/>
      <c r="C1799" s="57"/>
      <c r="D1799" s="57"/>
      <c r="E1799" s="57"/>
      <c r="F1799" s="57"/>
      <c r="G1799" s="57"/>
      <c r="H1799" s="57"/>
      <c r="I1799" s="57"/>
      <c r="J1799" s="57"/>
      <c r="K1799" s="57"/>
      <c r="L1799" s="57"/>
      <c r="M1799" s="57"/>
      <c r="O1799" s="69"/>
      <c r="P1799" s="57"/>
    </row>
    <row r="1800" spans="1:16" x14ac:dyDescent="0.2">
      <c r="A1800" s="57"/>
      <c r="B1800" s="69"/>
      <c r="C1800" s="57"/>
      <c r="D1800" s="57"/>
      <c r="E1800" s="57"/>
      <c r="F1800" s="57"/>
      <c r="G1800" s="57"/>
      <c r="H1800" s="57"/>
      <c r="I1800" s="57"/>
      <c r="J1800" s="57"/>
      <c r="K1800" s="57"/>
      <c r="L1800" s="57"/>
      <c r="M1800" s="57"/>
      <c r="O1800" s="69"/>
      <c r="P1800" s="57"/>
    </row>
    <row r="1801" spans="1:16" x14ac:dyDescent="0.2">
      <c r="A1801" s="57"/>
      <c r="B1801" s="69"/>
      <c r="C1801" s="57"/>
      <c r="D1801" s="57"/>
      <c r="E1801" s="57"/>
      <c r="F1801" s="57"/>
      <c r="G1801" s="57"/>
      <c r="H1801" s="57"/>
      <c r="I1801" s="57"/>
      <c r="J1801" s="57"/>
      <c r="K1801" s="57"/>
      <c r="L1801" s="57"/>
      <c r="M1801" s="57"/>
      <c r="O1801" s="69"/>
      <c r="P1801" s="57"/>
    </row>
    <row r="1802" spans="1:16" x14ac:dyDescent="0.2">
      <c r="A1802" s="57"/>
      <c r="B1802" s="69"/>
      <c r="C1802" s="57"/>
      <c r="D1802" s="57"/>
      <c r="E1802" s="57"/>
      <c r="F1802" s="57"/>
      <c r="G1802" s="57"/>
      <c r="H1802" s="57"/>
      <c r="I1802" s="57"/>
      <c r="J1802" s="57"/>
      <c r="K1802" s="57"/>
      <c r="L1802" s="57"/>
      <c r="M1802" s="57"/>
      <c r="O1802" s="69"/>
      <c r="P1802" s="57"/>
    </row>
    <row r="1803" spans="1:16" x14ac:dyDescent="0.2">
      <c r="A1803" s="57"/>
      <c r="B1803" s="69"/>
      <c r="C1803" s="57"/>
      <c r="D1803" s="57"/>
      <c r="E1803" s="57"/>
      <c r="F1803" s="57"/>
      <c r="G1803" s="57"/>
      <c r="H1803" s="57"/>
      <c r="I1803" s="57"/>
      <c r="J1803" s="57"/>
      <c r="K1803" s="57"/>
      <c r="L1803" s="57"/>
      <c r="M1803" s="57"/>
      <c r="O1803" s="69"/>
      <c r="P1803" s="57"/>
    </row>
    <row r="1804" spans="1:16" x14ac:dyDescent="0.2">
      <c r="A1804" s="57"/>
      <c r="B1804" s="69"/>
      <c r="C1804" s="57"/>
      <c r="D1804" s="57"/>
      <c r="E1804" s="57"/>
      <c r="F1804" s="57"/>
      <c r="G1804" s="57"/>
      <c r="H1804" s="57"/>
      <c r="I1804" s="57"/>
      <c r="J1804" s="57"/>
      <c r="K1804" s="57"/>
      <c r="L1804" s="57"/>
      <c r="M1804" s="57"/>
      <c r="O1804" s="69"/>
      <c r="P1804" s="57"/>
    </row>
    <row r="1805" spans="1:16" x14ac:dyDescent="0.2">
      <c r="A1805" s="57"/>
      <c r="B1805" s="69"/>
      <c r="C1805" s="57"/>
      <c r="D1805" s="57"/>
      <c r="E1805" s="57"/>
      <c r="F1805" s="57"/>
      <c r="G1805" s="57"/>
      <c r="H1805" s="57"/>
      <c r="I1805" s="57"/>
      <c r="J1805" s="57"/>
      <c r="K1805" s="57"/>
      <c r="L1805" s="57"/>
      <c r="M1805" s="57"/>
      <c r="O1805" s="69"/>
      <c r="P1805" s="57"/>
    </row>
    <row r="1806" spans="1:16" x14ac:dyDescent="0.2">
      <c r="A1806" s="57"/>
      <c r="B1806" s="69"/>
      <c r="C1806" s="57"/>
      <c r="D1806" s="57"/>
      <c r="E1806" s="57"/>
      <c r="F1806" s="57"/>
      <c r="G1806" s="57"/>
      <c r="H1806" s="57"/>
      <c r="I1806" s="57"/>
      <c r="J1806" s="57"/>
      <c r="K1806" s="57"/>
      <c r="L1806" s="57"/>
      <c r="M1806" s="57"/>
      <c r="O1806" s="69"/>
      <c r="P1806" s="57"/>
    </row>
    <row r="1807" spans="1:16" x14ac:dyDescent="0.2">
      <c r="A1807" s="57"/>
      <c r="B1807" s="69"/>
      <c r="C1807" s="57"/>
      <c r="D1807" s="57"/>
      <c r="E1807" s="57"/>
      <c r="F1807" s="57"/>
      <c r="G1807" s="57"/>
      <c r="H1807" s="57"/>
      <c r="I1807" s="57"/>
      <c r="J1807" s="57"/>
      <c r="K1807" s="57"/>
      <c r="L1807" s="57"/>
      <c r="M1807" s="57"/>
      <c r="O1807" s="69"/>
      <c r="P1807" s="57"/>
    </row>
    <row r="1808" spans="1:16" x14ac:dyDescent="0.2">
      <c r="A1808" s="57"/>
      <c r="B1808" s="69"/>
      <c r="C1808" s="57"/>
      <c r="D1808" s="57"/>
      <c r="E1808" s="57"/>
      <c r="F1808" s="57"/>
      <c r="G1808" s="57"/>
      <c r="H1808" s="57"/>
      <c r="I1808" s="57"/>
      <c r="J1808" s="57"/>
      <c r="K1808" s="57"/>
      <c r="L1808" s="57"/>
      <c r="M1808" s="57"/>
      <c r="O1808" s="69"/>
      <c r="P1808" s="57"/>
    </row>
    <row r="1809" spans="1:16" x14ac:dyDescent="0.2">
      <c r="A1809" s="57"/>
      <c r="B1809" s="69"/>
      <c r="C1809" s="57"/>
      <c r="D1809" s="57"/>
      <c r="E1809" s="57"/>
      <c r="F1809" s="57"/>
      <c r="G1809" s="57"/>
      <c r="H1809" s="57"/>
      <c r="I1809" s="57"/>
      <c r="J1809" s="57"/>
      <c r="K1809" s="57"/>
      <c r="L1809" s="57"/>
      <c r="M1809" s="57"/>
      <c r="O1809" s="69"/>
      <c r="P1809" s="57"/>
    </row>
    <row r="1810" spans="1:16" x14ac:dyDescent="0.2">
      <c r="A1810" s="57"/>
      <c r="B1810" s="69"/>
      <c r="C1810" s="57"/>
      <c r="D1810" s="57"/>
      <c r="E1810" s="57"/>
      <c r="F1810" s="57"/>
      <c r="G1810" s="57"/>
      <c r="H1810" s="57"/>
      <c r="I1810" s="57"/>
      <c r="J1810" s="57"/>
      <c r="K1810" s="57"/>
      <c r="L1810" s="57"/>
      <c r="M1810" s="57"/>
      <c r="O1810" s="69"/>
      <c r="P1810" s="57"/>
    </row>
    <row r="1811" spans="1:16" x14ac:dyDescent="0.2">
      <c r="A1811" s="57"/>
      <c r="B1811" s="69"/>
      <c r="C1811" s="57"/>
      <c r="D1811" s="57"/>
      <c r="E1811" s="57"/>
      <c r="F1811" s="57"/>
      <c r="G1811" s="57"/>
      <c r="H1811" s="57"/>
      <c r="I1811" s="57"/>
      <c r="J1811" s="57"/>
      <c r="K1811" s="57"/>
      <c r="L1811" s="57"/>
      <c r="M1811" s="57"/>
      <c r="O1811" s="69"/>
      <c r="P1811" s="57"/>
    </row>
    <row r="1812" spans="1:16" x14ac:dyDescent="0.2">
      <c r="A1812" s="57"/>
      <c r="B1812" s="69"/>
      <c r="C1812" s="57"/>
      <c r="D1812" s="57"/>
      <c r="E1812" s="57"/>
      <c r="F1812" s="57"/>
      <c r="G1812" s="57"/>
      <c r="H1812" s="57"/>
      <c r="I1812" s="57"/>
      <c r="J1812" s="57"/>
      <c r="K1812" s="57"/>
      <c r="L1812" s="57"/>
      <c r="M1812" s="57"/>
      <c r="O1812" s="69"/>
      <c r="P1812" s="57"/>
    </row>
    <row r="1813" spans="1:16" x14ac:dyDescent="0.2">
      <c r="A1813" s="57"/>
      <c r="B1813" s="69"/>
      <c r="C1813" s="57"/>
      <c r="D1813" s="57"/>
      <c r="E1813" s="57"/>
      <c r="F1813" s="57"/>
      <c r="G1813" s="57"/>
      <c r="H1813" s="57"/>
      <c r="I1813" s="57"/>
      <c r="J1813" s="57"/>
      <c r="K1813" s="57"/>
      <c r="L1813" s="57"/>
      <c r="M1813" s="57"/>
      <c r="O1813" s="69"/>
      <c r="P1813" s="57"/>
    </row>
    <row r="1814" spans="1:16" x14ac:dyDescent="0.2">
      <c r="A1814" s="57"/>
      <c r="B1814" s="69"/>
      <c r="C1814" s="57"/>
      <c r="D1814" s="57"/>
      <c r="E1814" s="57"/>
      <c r="F1814" s="57"/>
      <c r="G1814" s="57"/>
      <c r="H1814" s="57"/>
      <c r="I1814" s="57"/>
      <c r="J1814" s="57"/>
      <c r="K1814" s="57"/>
      <c r="L1814" s="57"/>
      <c r="M1814" s="57"/>
      <c r="O1814" s="69"/>
      <c r="P1814" s="57"/>
    </row>
    <row r="1815" spans="1:16" x14ac:dyDescent="0.2">
      <c r="A1815" s="57"/>
      <c r="B1815" s="69"/>
      <c r="C1815" s="57"/>
      <c r="D1815" s="57"/>
      <c r="E1815" s="57"/>
      <c r="F1815" s="57"/>
      <c r="G1815" s="57"/>
      <c r="H1815" s="57"/>
      <c r="I1815" s="57"/>
      <c r="J1815" s="57"/>
      <c r="K1815" s="57"/>
      <c r="L1815" s="57"/>
      <c r="M1815" s="57"/>
      <c r="O1815" s="69"/>
      <c r="P1815" s="57"/>
    </row>
    <row r="1816" spans="1:16" x14ac:dyDescent="0.2">
      <c r="A1816" s="57"/>
      <c r="B1816" s="69"/>
      <c r="C1816" s="57"/>
      <c r="D1816" s="57"/>
      <c r="E1816" s="57"/>
      <c r="F1816" s="57"/>
      <c r="G1816" s="57"/>
      <c r="H1816" s="57"/>
      <c r="I1816" s="57"/>
      <c r="J1816" s="57"/>
      <c r="K1816" s="57"/>
      <c r="L1816" s="57"/>
      <c r="M1816" s="57"/>
      <c r="O1816" s="69"/>
      <c r="P1816" s="57"/>
    </row>
    <row r="1817" spans="1:16" x14ac:dyDescent="0.2">
      <c r="A1817" s="57"/>
      <c r="B1817" s="69"/>
      <c r="C1817" s="57"/>
      <c r="D1817" s="57"/>
      <c r="E1817" s="57"/>
      <c r="F1817" s="57"/>
      <c r="G1817" s="57"/>
      <c r="H1817" s="57"/>
      <c r="I1817" s="57"/>
      <c r="J1817" s="57"/>
      <c r="K1817" s="57"/>
      <c r="L1817" s="57"/>
      <c r="M1817" s="57"/>
      <c r="O1817" s="69"/>
      <c r="P1817" s="57"/>
    </row>
    <row r="1818" spans="1:16" x14ac:dyDescent="0.2">
      <c r="A1818" s="57"/>
      <c r="B1818" s="69"/>
      <c r="C1818" s="57"/>
      <c r="D1818" s="57"/>
      <c r="E1818" s="57"/>
      <c r="F1818" s="57"/>
      <c r="G1818" s="57"/>
      <c r="H1818" s="57"/>
      <c r="I1818" s="57"/>
      <c r="J1818" s="57"/>
      <c r="K1818" s="57"/>
      <c r="L1818" s="57"/>
      <c r="M1818" s="57"/>
      <c r="O1818" s="69"/>
      <c r="P1818" s="57"/>
    </row>
    <row r="1819" spans="1:16" x14ac:dyDescent="0.2">
      <c r="A1819" s="57"/>
      <c r="B1819" s="69"/>
      <c r="C1819" s="57"/>
      <c r="D1819" s="57"/>
      <c r="E1819" s="57"/>
      <c r="F1819" s="57"/>
      <c r="G1819" s="57"/>
      <c r="H1819" s="57"/>
      <c r="I1819" s="57"/>
      <c r="J1819" s="57"/>
      <c r="K1819" s="57"/>
      <c r="L1819" s="57"/>
      <c r="M1819" s="57"/>
      <c r="O1819" s="69"/>
      <c r="P1819" s="57"/>
    </row>
    <row r="1820" spans="1:16" x14ac:dyDescent="0.2">
      <c r="A1820" s="57"/>
      <c r="B1820" s="69"/>
      <c r="C1820" s="57"/>
      <c r="D1820" s="57"/>
      <c r="E1820" s="57"/>
      <c r="F1820" s="57"/>
      <c r="G1820" s="57"/>
      <c r="H1820" s="57"/>
      <c r="I1820" s="57"/>
      <c r="J1820" s="57"/>
      <c r="K1820" s="57"/>
      <c r="L1820" s="57"/>
      <c r="M1820" s="57"/>
      <c r="O1820" s="69"/>
      <c r="P1820" s="57"/>
    </row>
    <row r="1821" spans="1:16" x14ac:dyDescent="0.2">
      <c r="A1821" s="57"/>
      <c r="B1821" s="69"/>
      <c r="C1821" s="57"/>
      <c r="D1821" s="57"/>
      <c r="E1821" s="57"/>
      <c r="F1821" s="57"/>
      <c r="G1821" s="57"/>
      <c r="H1821" s="57"/>
      <c r="I1821" s="57"/>
      <c r="J1821" s="57"/>
      <c r="K1821" s="57"/>
      <c r="L1821" s="57"/>
      <c r="M1821" s="57"/>
      <c r="O1821" s="69"/>
      <c r="P1821" s="57"/>
    </row>
    <row r="1822" spans="1:16" x14ac:dyDescent="0.2">
      <c r="A1822" s="57"/>
      <c r="B1822" s="69"/>
      <c r="C1822" s="57"/>
      <c r="D1822" s="57"/>
      <c r="E1822" s="57"/>
      <c r="F1822" s="57"/>
      <c r="G1822" s="57"/>
      <c r="H1822" s="57"/>
      <c r="I1822" s="57"/>
      <c r="J1822" s="57"/>
      <c r="K1822" s="57"/>
      <c r="L1822" s="57"/>
      <c r="M1822" s="57"/>
      <c r="O1822" s="69"/>
      <c r="P1822" s="57"/>
    </row>
    <row r="1823" spans="1:16" x14ac:dyDescent="0.2">
      <c r="A1823" s="57"/>
      <c r="B1823" s="69"/>
      <c r="C1823" s="57"/>
      <c r="D1823" s="57"/>
      <c r="E1823" s="57"/>
      <c r="F1823" s="57"/>
      <c r="G1823" s="57"/>
      <c r="H1823" s="57"/>
      <c r="I1823" s="57"/>
      <c r="J1823" s="57"/>
      <c r="K1823" s="57"/>
      <c r="L1823" s="57"/>
      <c r="M1823" s="57"/>
      <c r="O1823" s="69"/>
      <c r="P1823" s="57"/>
    </row>
    <row r="1824" spans="1:16" x14ac:dyDescent="0.2">
      <c r="A1824" s="57"/>
      <c r="B1824" s="69"/>
      <c r="C1824" s="57"/>
      <c r="D1824" s="57"/>
      <c r="E1824" s="57"/>
      <c r="F1824" s="57"/>
      <c r="G1824" s="57"/>
      <c r="H1824" s="57"/>
      <c r="I1824" s="57"/>
      <c r="J1824" s="57"/>
      <c r="K1824" s="57"/>
      <c r="L1824" s="57"/>
      <c r="M1824" s="57"/>
      <c r="O1824" s="69"/>
      <c r="P1824" s="57"/>
    </row>
    <row r="1825" spans="1:16" x14ac:dyDescent="0.2">
      <c r="A1825" s="57"/>
      <c r="B1825" s="69"/>
      <c r="C1825" s="57"/>
      <c r="D1825" s="57"/>
      <c r="E1825" s="57"/>
      <c r="F1825" s="57"/>
      <c r="G1825" s="57"/>
      <c r="H1825" s="57"/>
      <c r="I1825" s="57"/>
      <c r="J1825" s="57"/>
      <c r="K1825" s="57"/>
      <c r="L1825" s="57"/>
      <c r="M1825" s="57"/>
      <c r="O1825" s="69"/>
      <c r="P1825" s="57"/>
    </row>
    <row r="1826" spans="1:16" x14ac:dyDescent="0.2">
      <c r="A1826" s="57"/>
      <c r="B1826" s="69"/>
      <c r="C1826" s="57"/>
      <c r="D1826" s="57"/>
      <c r="E1826" s="57"/>
      <c r="F1826" s="57"/>
      <c r="G1826" s="57"/>
      <c r="H1826" s="57"/>
      <c r="I1826" s="57"/>
      <c r="J1826" s="57"/>
      <c r="K1826" s="57"/>
      <c r="L1826" s="57"/>
      <c r="M1826" s="57"/>
      <c r="O1826" s="69"/>
      <c r="P1826" s="57"/>
    </row>
    <row r="1827" spans="1:16" x14ac:dyDescent="0.2">
      <c r="A1827" s="57"/>
      <c r="B1827" s="69"/>
      <c r="C1827" s="57"/>
      <c r="D1827" s="57"/>
      <c r="E1827" s="57"/>
      <c r="F1827" s="57"/>
      <c r="G1827" s="57"/>
      <c r="H1827" s="57"/>
      <c r="I1827" s="57"/>
      <c r="J1827" s="57"/>
      <c r="K1827" s="57"/>
      <c r="L1827" s="57"/>
      <c r="M1827" s="57"/>
      <c r="O1827" s="69"/>
      <c r="P1827" s="57"/>
    </row>
    <row r="1828" spans="1:16" x14ac:dyDescent="0.2">
      <c r="A1828" s="57"/>
      <c r="B1828" s="69"/>
      <c r="C1828" s="57"/>
      <c r="D1828" s="57"/>
      <c r="E1828" s="57"/>
      <c r="F1828" s="57"/>
      <c r="G1828" s="57"/>
      <c r="H1828" s="57"/>
      <c r="I1828" s="57"/>
      <c r="J1828" s="57"/>
      <c r="K1828" s="57"/>
      <c r="L1828" s="57"/>
      <c r="M1828" s="57"/>
      <c r="O1828" s="69"/>
      <c r="P1828" s="57"/>
    </row>
    <row r="1829" spans="1:16" x14ac:dyDescent="0.2">
      <c r="A1829" s="57"/>
      <c r="B1829" s="69"/>
      <c r="C1829" s="57"/>
      <c r="D1829" s="57"/>
      <c r="E1829" s="57"/>
      <c r="F1829" s="57"/>
      <c r="G1829" s="57"/>
      <c r="H1829" s="57"/>
      <c r="I1829" s="57"/>
      <c r="J1829" s="57"/>
      <c r="K1829" s="57"/>
      <c r="L1829" s="57"/>
      <c r="M1829" s="57"/>
      <c r="O1829" s="69"/>
      <c r="P1829" s="57"/>
    </row>
    <row r="1830" spans="1:16" x14ac:dyDescent="0.2">
      <c r="A1830" s="57"/>
      <c r="B1830" s="69"/>
      <c r="C1830" s="57"/>
      <c r="D1830" s="57"/>
      <c r="E1830" s="57"/>
      <c r="F1830" s="57"/>
      <c r="G1830" s="57"/>
      <c r="H1830" s="57"/>
      <c r="I1830" s="57"/>
      <c r="J1830" s="57"/>
      <c r="K1830" s="57"/>
      <c r="L1830" s="57"/>
      <c r="M1830" s="57"/>
      <c r="O1830" s="69"/>
      <c r="P1830" s="57"/>
    </row>
    <row r="1831" spans="1:16" x14ac:dyDescent="0.2">
      <c r="A1831" s="57"/>
      <c r="B1831" s="69"/>
      <c r="C1831" s="57"/>
      <c r="D1831" s="57"/>
      <c r="E1831" s="57"/>
      <c r="F1831" s="57"/>
      <c r="G1831" s="57"/>
      <c r="H1831" s="57"/>
      <c r="I1831" s="57"/>
      <c r="J1831" s="57"/>
      <c r="K1831" s="57"/>
      <c r="L1831" s="57"/>
      <c r="M1831" s="57"/>
      <c r="O1831" s="69"/>
      <c r="P1831" s="57"/>
    </row>
    <row r="1832" spans="1:16" x14ac:dyDescent="0.2">
      <c r="A1832" s="57"/>
      <c r="B1832" s="69"/>
      <c r="C1832" s="57"/>
      <c r="D1832" s="57"/>
      <c r="E1832" s="57"/>
      <c r="F1832" s="57"/>
      <c r="G1832" s="57"/>
      <c r="H1832" s="57"/>
      <c r="I1832" s="57"/>
      <c r="J1832" s="57"/>
      <c r="K1832" s="57"/>
      <c r="L1832" s="57"/>
      <c r="M1832" s="57"/>
      <c r="O1832" s="69"/>
      <c r="P1832" s="57"/>
    </row>
    <row r="1833" spans="1:16" x14ac:dyDescent="0.2">
      <c r="A1833" s="57"/>
      <c r="B1833" s="69"/>
      <c r="C1833" s="57"/>
      <c r="D1833" s="57"/>
      <c r="E1833" s="57"/>
      <c r="F1833" s="57"/>
      <c r="G1833" s="57"/>
      <c r="H1833" s="57"/>
      <c r="I1833" s="57"/>
      <c r="J1833" s="57"/>
      <c r="K1833" s="57"/>
      <c r="L1833" s="57"/>
      <c r="M1833" s="57"/>
      <c r="O1833" s="69"/>
      <c r="P1833" s="57"/>
    </row>
    <row r="1834" spans="1:16" x14ac:dyDescent="0.2">
      <c r="A1834" s="57"/>
      <c r="B1834" s="69"/>
      <c r="C1834" s="57"/>
      <c r="D1834" s="57"/>
      <c r="E1834" s="57"/>
      <c r="F1834" s="57"/>
      <c r="G1834" s="57"/>
      <c r="H1834" s="57"/>
      <c r="I1834" s="57"/>
      <c r="J1834" s="57"/>
      <c r="K1834" s="57"/>
      <c r="L1834" s="57"/>
      <c r="M1834" s="57"/>
      <c r="O1834" s="69"/>
      <c r="P1834" s="57"/>
    </row>
    <row r="1835" spans="1:16" x14ac:dyDescent="0.2">
      <c r="A1835" s="57"/>
      <c r="B1835" s="69"/>
      <c r="C1835" s="57"/>
      <c r="D1835" s="57"/>
      <c r="E1835" s="57"/>
      <c r="F1835" s="57"/>
      <c r="G1835" s="57"/>
      <c r="H1835" s="57"/>
      <c r="I1835" s="57"/>
      <c r="J1835" s="57"/>
      <c r="K1835" s="57"/>
      <c r="L1835" s="57"/>
      <c r="M1835" s="57"/>
      <c r="O1835" s="69"/>
      <c r="P1835" s="57"/>
    </row>
    <row r="1836" spans="1:16" x14ac:dyDescent="0.2">
      <c r="A1836" s="57"/>
      <c r="B1836" s="69"/>
      <c r="C1836" s="57"/>
      <c r="D1836" s="57"/>
      <c r="E1836" s="57"/>
      <c r="F1836" s="57"/>
      <c r="G1836" s="57"/>
      <c r="H1836" s="57"/>
      <c r="I1836" s="57"/>
      <c r="J1836" s="57"/>
      <c r="K1836" s="57"/>
      <c r="L1836" s="57"/>
      <c r="M1836" s="57"/>
      <c r="O1836" s="69"/>
      <c r="P1836" s="57"/>
    </row>
    <row r="1837" spans="1:16" x14ac:dyDescent="0.2">
      <c r="A1837" s="57"/>
      <c r="B1837" s="69"/>
      <c r="C1837" s="57"/>
      <c r="D1837" s="57"/>
      <c r="E1837" s="57"/>
      <c r="F1837" s="57"/>
      <c r="G1837" s="57"/>
      <c r="H1837" s="57"/>
      <c r="I1837" s="57"/>
      <c r="J1837" s="57"/>
      <c r="K1837" s="57"/>
      <c r="L1837" s="57"/>
      <c r="M1837" s="57"/>
      <c r="O1837" s="69"/>
      <c r="P1837" s="57"/>
    </row>
    <row r="1838" spans="1:16" x14ac:dyDescent="0.2">
      <c r="A1838" s="57"/>
      <c r="B1838" s="69"/>
      <c r="C1838" s="57"/>
      <c r="D1838" s="57"/>
      <c r="E1838" s="57"/>
      <c r="F1838" s="57"/>
      <c r="G1838" s="57"/>
      <c r="H1838" s="57"/>
      <c r="I1838" s="57"/>
      <c r="J1838" s="57"/>
      <c r="K1838" s="57"/>
      <c r="L1838" s="57"/>
      <c r="M1838" s="57"/>
      <c r="O1838" s="69"/>
      <c r="P1838" s="57"/>
    </row>
    <row r="1839" spans="1:16" x14ac:dyDescent="0.2">
      <c r="A1839" s="57"/>
      <c r="B1839" s="69"/>
      <c r="C1839" s="57"/>
      <c r="D1839" s="57"/>
      <c r="E1839" s="57"/>
      <c r="F1839" s="57"/>
      <c r="G1839" s="57"/>
      <c r="H1839" s="57"/>
      <c r="I1839" s="57"/>
      <c r="J1839" s="57"/>
      <c r="K1839" s="57"/>
      <c r="L1839" s="57"/>
      <c r="M1839" s="57"/>
      <c r="O1839" s="69"/>
      <c r="P1839" s="57"/>
    </row>
    <row r="1840" spans="1:16" x14ac:dyDescent="0.2">
      <c r="A1840" s="57"/>
      <c r="B1840" s="69"/>
      <c r="C1840" s="57"/>
      <c r="D1840" s="57"/>
      <c r="E1840" s="57"/>
      <c r="F1840" s="57"/>
      <c r="G1840" s="57"/>
      <c r="H1840" s="57"/>
      <c r="I1840" s="57"/>
      <c r="J1840" s="57"/>
      <c r="K1840" s="57"/>
      <c r="L1840" s="57"/>
      <c r="M1840" s="57"/>
      <c r="O1840" s="69"/>
      <c r="P1840" s="57"/>
    </row>
    <row r="1841" spans="1:16" x14ac:dyDescent="0.2">
      <c r="A1841" s="57"/>
      <c r="B1841" s="69"/>
      <c r="C1841" s="57"/>
      <c r="D1841" s="57"/>
      <c r="E1841" s="57"/>
      <c r="F1841" s="57"/>
      <c r="G1841" s="57"/>
      <c r="H1841" s="57"/>
      <c r="I1841" s="57"/>
      <c r="J1841" s="57"/>
      <c r="K1841" s="57"/>
      <c r="L1841" s="57"/>
      <c r="M1841" s="57"/>
      <c r="O1841" s="69"/>
      <c r="P1841" s="57"/>
    </row>
    <row r="1842" spans="1:16" x14ac:dyDescent="0.2">
      <c r="A1842" s="57"/>
      <c r="B1842" s="69"/>
      <c r="C1842" s="57"/>
      <c r="D1842" s="57"/>
      <c r="E1842" s="57"/>
      <c r="F1842" s="57"/>
      <c r="G1842" s="57"/>
      <c r="H1842" s="57"/>
      <c r="I1842" s="57"/>
      <c r="J1842" s="57"/>
      <c r="K1842" s="57"/>
      <c r="L1842" s="57"/>
      <c r="M1842" s="57"/>
      <c r="O1842" s="69"/>
      <c r="P1842" s="57"/>
    </row>
    <row r="1843" spans="1:16" x14ac:dyDescent="0.2">
      <c r="A1843" s="57"/>
      <c r="B1843" s="69"/>
      <c r="C1843" s="57"/>
      <c r="D1843" s="57"/>
      <c r="E1843" s="57"/>
      <c r="F1843" s="57"/>
      <c r="G1843" s="57"/>
      <c r="H1843" s="57"/>
      <c r="I1843" s="57"/>
      <c r="J1843" s="57"/>
      <c r="K1843" s="57"/>
      <c r="L1843" s="57"/>
      <c r="M1843" s="57"/>
      <c r="O1843" s="69"/>
      <c r="P1843" s="57"/>
    </row>
    <row r="1844" spans="1:16" x14ac:dyDescent="0.2">
      <c r="A1844" s="57"/>
      <c r="B1844" s="69"/>
      <c r="C1844" s="57"/>
      <c r="D1844" s="57"/>
      <c r="E1844" s="57"/>
      <c r="F1844" s="57"/>
      <c r="G1844" s="57"/>
      <c r="H1844" s="57"/>
      <c r="I1844" s="57"/>
      <c r="J1844" s="57"/>
      <c r="K1844" s="57"/>
      <c r="L1844" s="57"/>
      <c r="M1844" s="57"/>
      <c r="O1844" s="69"/>
      <c r="P1844" s="57"/>
    </row>
    <row r="1845" spans="1:16" x14ac:dyDescent="0.2">
      <c r="A1845" s="57"/>
      <c r="B1845" s="69"/>
      <c r="C1845" s="57"/>
      <c r="D1845" s="57"/>
      <c r="E1845" s="57"/>
      <c r="F1845" s="57"/>
      <c r="G1845" s="57"/>
      <c r="H1845" s="57"/>
      <c r="I1845" s="57"/>
      <c r="J1845" s="57"/>
      <c r="K1845" s="57"/>
      <c r="L1845" s="57"/>
      <c r="M1845" s="57"/>
      <c r="O1845" s="69"/>
      <c r="P1845" s="57"/>
    </row>
    <row r="1846" spans="1:16" x14ac:dyDescent="0.2">
      <c r="A1846" s="57"/>
      <c r="B1846" s="69"/>
      <c r="C1846" s="57"/>
      <c r="D1846" s="57"/>
      <c r="E1846" s="57"/>
      <c r="F1846" s="57"/>
      <c r="G1846" s="57"/>
      <c r="H1846" s="57"/>
      <c r="I1846" s="57"/>
      <c r="J1846" s="57"/>
      <c r="K1846" s="57"/>
      <c r="L1846" s="57"/>
      <c r="M1846" s="57"/>
      <c r="O1846" s="69"/>
      <c r="P1846" s="57"/>
    </row>
    <row r="1847" spans="1:16" x14ac:dyDescent="0.2">
      <c r="A1847" s="57"/>
      <c r="B1847" s="69"/>
      <c r="C1847" s="57"/>
      <c r="D1847" s="57"/>
      <c r="E1847" s="57"/>
      <c r="F1847" s="57"/>
      <c r="G1847" s="57"/>
      <c r="H1847" s="57"/>
      <c r="I1847" s="57"/>
      <c r="J1847" s="57"/>
      <c r="K1847" s="57"/>
      <c r="L1847" s="57"/>
      <c r="M1847" s="57"/>
      <c r="O1847" s="69"/>
      <c r="P1847" s="57"/>
    </row>
    <row r="1848" spans="1:16" x14ac:dyDescent="0.2">
      <c r="A1848" s="57"/>
      <c r="B1848" s="69"/>
      <c r="C1848" s="57"/>
      <c r="D1848" s="57"/>
      <c r="E1848" s="57"/>
      <c r="F1848" s="57"/>
      <c r="G1848" s="57"/>
      <c r="H1848" s="57"/>
      <c r="I1848" s="57"/>
      <c r="J1848" s="57"/>
      <c r="K1848" s="57"/>
      <c r="L1848" s="57"/>
      <c r="M1848" s="57"/>
      <c r="O1848" s="69"/>
      <c r="P1848" s="57"/>
    </row>
    <row r="1849" spans="1:16" x14ac:dyDescent="0.2">
      <c r="A1849" s="57"/>
      <c r="B1849" s="69"/>
      <c r="C1849" s="57"/>
      <c r="D1849" s="57"/>
      <c r="E1849" s="57"/>
      <c r="F1849" s="57"/>
      <c r="G1849" s="57"/>
      <c r="H1849" s="57"/>
      <c r="I1849" s="57"/>
      <c r="J1849" s="57"/>
      <c r="K1849" s="57"/>
      <c r="L1849" s="57"/>
      <c r="M1849" s="57"/>
      <c r="O1849" s="69"/>
      <c r="P1849" s="57"/>
    </row>
    <row r="1850" spans="1:16" x14ac:dyDescent="0.2">
      <c r="A1850" s="57"/>
      <c r="B1850" s="69"/>
      <c r="C1850" s="57"/>
      <c r="D1850" s="57"/>
      <c r="E1850" s="57"/>
      <c r="F1850" s="57"/>
      <c r="G1850" s="57"/>
      <c r="H1850" s="57"/>
      <c r="I1850" s="57"/>
      <c r="J1850" s="57"/>
      <c r="K1850" s="57"/>
      <c r="L1850" s="57"/>
      <c r="M1850" s="57"/>
      <c r="O1850" s="69"/>
      <c r="P1850" s="57"/>
    </row>
    <row r="1851" spans="1:16" x14ac:dyDescent="0.2">
      <c r="A1851" s="57"/>
      <c r="B1851" s="69"/>
      <c r="C1851" s="57"/>
      <c r="D1851" s="57"/>
      <c r="E1851" s="57"/>
      <c r="F1851" s="57"/>
      <c r="G1851" s="57"/>
      <c r="H1851" s="57"/>
      <c r="I1851" s="57"/>
      <c r="J1851" s="57"/>
      <c r="K1851" s="57"/>
      <c r="L1851" s="57"/>
      <c r="M1851" s="57"/>
      <c r="O1851" s="69"/>
      <c r="P1851" s="57"/>
    </row>
    <row r="1852" spans="1:16" x14ac:dyDescent="0.2">
      <c r="A1852" s="57"/>
      <c r="B1852" s="69"/>
      <c r="C1852" s="57"/>
      <c r="D1852" s="57"/>
      <c r="E1852" s="57"/>
      <c r="F1852" s="57"/>
      <c r="G1852" s="57"/>
      <c r="H1852" s="57"/>
      <c r="I1852" s="57"/>
      <c r="J1852" s="57"/>
      <c r="K1852" s="57"/>
      <c r="L1852" s="57"/>
      <c r="M1852" s="57"/>
      <c r="O1852" s="69"/>
      <c r="P1852" s="57"/>
    </row>
    <row r="1853" spans="1:16" x14ac:dyDescent="0.2">
      <c r="A1853" s="57"/>
      <c r="B1853" s="69"/>
      <c r="C1853" s="57"/>
      <c r="D1853" s="57"/>
      <c r="E1853" s="57"/>
      <c r="F1853" s="57"/>
      <c r="G1853" s="57"/>
      <c r="H1853" s="57"/>
      <c r="I1853" s="57"/>
      <c r="J1853" s="57"/>
      <c r="K1853" s="57"/>
      <c r="L1853" s="57"/>
      <c r="M1853" s="57"/>
      <c r="O1853" s="69"/>
      <c r="P1853" s="57"/>
    </row>
    <row r="1854" spans="1:16" x14ac:dyDescent="0.2">
      <c r="A1854" s="57"/>
      <c r="B1854" s="69"/>
      <c r="C1854" s="57"/>
      <c r="D1854" s="57"/>
      <c r="E1854" s="57"/>
      <c r="F1854" s="57"/>
      <c r="G1854" s="57"/>
      <c r="H1854" s="57"/>
      <c r="I1854" s="57"/>
      <c r="J1854" s="57"/>
      <c r="K1854" s="57"/>
      <c r="L1854" s="57"/>
      <c r="M1854" s="57"/>
      <c r="O1854" s="69"/>
      <c r="P1854" s="57"/>
    </row>
    <row r="1855" spans="1:16" x14ac:dyDescent="0.2">
      <c r="A1855" s="57"/>
      <c r="B1855" s="69"/>
      <c r="C1855" s="57"/>
      <c r="D1855" s="57"/>
      <c r="E1855" s="57"/>
      <c r="F1855" s="57"/>
      <c r="G1855" s="57"/>
      <c r="H1855" s="57"/>
      <c r="I1855" s="57"/>
      <c r="J1855" s="57"/>
      <c r="K1855" s="57"/>
      <c r="L1855" s="57"/>
      <c r="M1855" s="57"/>
      <c r="O1855" s="69"/>
      <c r="P1855" s="57"/>
    </row>
    <row r="1856" spans="1:16" x14ac:dyDescent="0.2">
      <c r="A1856" s="57"/>
      <c r="B1856" s="69"/>
      <c r="C1856" s="57"/>
      <c r="D1856" s="57"/>
      <c r="E1856" s="57"/>
      <c r="F1856" s="57"/>
      <c r="G1856" s="57"/>
      <c r="H1856" s="57"/>
      <c r="I1856" s="57"/>
      <c r="J1856" s="57"/>
      <c r="K1856" s="57"/>
      <c r="L1856" s="57"/>
      <c r="M1856" s="57"/>
      <c r="O1856" s="69"/>
      <c r="P1856" s="57"/>
    </row>
    <row r="1857" spans="1:16" x14ac:dyDescent="0.2">
      <c r="A1857" s="57"/>
      <c r="B1857" s="69"/>
      <c r="C1857" s="57"/>
      <c r="D1857" s="57"/>
      <c r="E1857" s="57"/>
      <c r="F1857" s="57"/>
      <c r="G1857" s="57"/>
      <c r="H1857" s="57"/>
      <c r="I1857" s="57"/>
      <c r="J1857" s="57"/>
      <c r="K1857" s="57"/>
      <c r="L1857" s="57"/>
      <c r="M1857" s="57"/>
      <c r="O1857" s="69"/>
      <c r="P1857" s="57"/>
    </row>
    <row r="1858" spans="1:16" x14ac:dyDescent="0.2">
      <c r="A1858" s="57"/>
      <c r="B1858" s="69"/>
      <c r="C1858" s="57"/>
      <c r="D1858" s="57"/>
      <c r="E1858" s="57"/>
      <c r="F1858" s="57"/>
      <c r="G1858" s="57"/>
      <c r="H1858" s="57"/>
      <c r="I1858" s="57"/>
      <c r="J1858" s="57"/>
      <c r="K1858" s="57"/>
      <c r="L1858" s="57"/>
      <c r="M1858" s="57"/>
      <c r="O1858" s="69"/>
      <c r="P1858" s="57"/>
    </row>
    <row r="1859" spans="1:16" x14ac:dyDescent="0.2">
      <c r="A1859" s="57"/>
      <c r="B1859" s="69"/>
      <c r="C1859" s="57"/>
      <c r="D1859" s="57"/>
      <c r="E1859" s="57"/>
      <c r="F1859" s="57"/>
      <c r="G1859" s="57"/>
      <c r="H1859" s="57"/>
      <c r="I1859" s="57"/>
      <c r="J1859" s="57"/>
      <c r="K1859" s="57"/>
      <c r="L1859" s="57"/>
      <c r="M1859" s="57"/>
      <c r="O1859" s="69"/>
      <c r="P1859" s="57"/>
    </row>
    <row r="1860" spans="1:16" x14ac:dyDescent="0.2">
      <c r="A1860" s="57"/>
      <c r="B1860" s="69"/>
      <c r="C1860" s="57"/>
      <c r="D1860" s="57"/>
      <c r="E1860" s="57"/>
      <c r="F1860" s="57"/>
      <c r="G1860" s="57"/>
      <c r="H1860" s="57"/>
      <c r="I1860" s="57"/>
      <c r="J1860" s="57"/>
      <c r="K1860" s="57"/>
      <c r="L1860" s="57"/>
      <c r="M1860" s="57"/>
      <c r="O1860" s="69"/>
      <c r="P1860" s="57"/>
    </row>
    <row r="1861" spans="1:16" x14ac:dyDescent="0.2">
      <c r="A1861" s="57"/>
      <c r="B1861" s="69"/>
      <c r="C1861" s="57"/>
      <c r="D1861" s="57"/>
      <c r="E1861" s="57"/>
      <c r="F1861" s="57"/>
      <c r="G1861" s="57"/>
      <c r="H1861" s="57"/>
      <c r="I1861" s="57"/>
      <c r="J1861" s="57"/>
      <c r="K1861" s="57"/>
      <c r="L1861" s="57"/>
      <c r="M1861" s="57"/>
      <c r="O1861" s="69"/>
      <c r="P1861" s="57"/>
    </row>
    <row r="1862" spans="1:16" x14ac:dyDescent="0.2">
      <c r="A1862" s="57"/>
      <c r="B1862" s="69"/>
      <c r="C1862" s="57"/>
      <c r="D1862" s="57"/>
      <c r="E1862" s="57"/>
      <c r="F1862" s="57"/>
      <c r="G1862" s="57"/>
      <c r="H1862" s="57"/>
      <c r="I1862" s="57"/>
      <c r="J1862" s="57"/>
      <c r="K1862" s="57"/>
      <c r="L1862" s="57"/>
      <c r="M1862" s="57"/>
      <c r="O1862" s="69"/>
      <c r="P1862" s="57"/>
    </row>
    <row r="1863" spans="1:16" x14ac:dyDescent="0.2">
      <c r="A1863" s="57"/>
      <c r="B1863" s="69"/>
      <c r="C1863" s="57"/>
      <c r="D1863" s="57"/>
      <c r="E1863" s="57"/>
      <c r="F1863" s="57"/>
      <c r="G1863" s="57"/>
      <c r="H1863" s="57"/>
      <c r="I1863" s="57"/>
      <c r="J1863" s="57"/>
      <c r="K1863" s="57"/>
      <c r="L1863" s="57"/>
      <c r="M1863" s="57"/>
      <c r="O1863" s="69"/>
      <c r="P1863" s="57"/>
    </row>
    <row r="1864" spans="1:16" x14ac:dyDescent="0.2">
      <c r="A1864" s="57"/>
      <c r="B1864" s="69"/>
      <c r="C1864" s="57"/>
      <c r="D1864" s="57"/>
      <c r="E1864" s="57"/>
      <c r="F1864" s="57"/>
      <c r="G1864" s="57"/>
      <c r="H1864" s="57"/>
      <c r="I1864" s="57"/>
      <c r="J1864" s="57"/>
      <c r="K1864" s="57"/>
      <c r="L1864" s="57"/>
      <c r="M1864" s="57"/>
      <c r="O1864" s="69"/>
      <c r="P1864" s="57"/>
    </row>
    <row r="1865" spans="1:16" x14ac:dyDescent="0.2">
      <c r="A1865" s="57"/>
      <c r="B1865" s="69"/>
      <c r="C1865" s="57"/>
      <c r="D1865" s="57"/>
      <c r="E1865" s="57"/>
      <c r="F1865" s="57"/>
      <c r="G1865" s="57"/>
      <c r="H1865" s="57"/>
      <c r="I1865" s="57"/>
      <c r="J1865" s="57"/>
      <c r="K1865" s="57"/>
      <c r="L1865" s="57"/>
      <c r="M1865" s="57"/>
      <c r="O1865" s="69"/>
      <c r="P1865" s="57"/>
    </row>
    <row r="1866" spans="1:16" x14ac:dyDescent="0.2">
      <c r="A1866" s="57"/>
      <c r="B1866" s="69"/>
      <c r="C1866" s="57"/>
      <c r="D1866" s="57"/>
      <c r="E1866" s="57"/>
      <c r="F1866" s="57"/>
      <c r="G1866" s="57"/>
      <c r="H1866" s="57"/>
      <c r="I1866" s="57"/>
      <c r="J1866" s="57"/>
      <c r="K1866" s="57"/>
      <c r="L1866" s="57"/>
      <c r="M1866" s="57"/>
      <c r="O1866" s="69"/>
      <c r="P1866" s="57"/>
    </row>
    <row r="1867" spans="1:16" x14ac:dyDescent="0.2">
      <c r="A1867" s="57"/>
      <c r="B1867" s="69"/>
      <c r="C1867" s="57"/>
      <c r="D1867" s="57"/>
      <c r="E1867" s="57"/>
      <c r="F1867" s="57"/>
      <c r="G1867" s="57"/>
      <c r="H1867" s="57"/>
      <c r="I1867" s="57"/>
      <c r="J1867" s="57"/>
      <c r="K1867" s="57"/>
      <c r="L1867" s="57"/>
      <c r="M1867" s="57"/>
      <c r="O1867" s="69"/>
      <c r="P1867" s="57"/>
    </row>
    <row r="1868" spans="1:16" x14ac:dyDescent="0.2">
      <c r="A1868" s="57"/>
      <c r="B1868" s="69"/>
      <c r="C1868" s="57"/>
      <c r="D1868" s="57"/>
      <c r="E1868" s="57"/>
      <c r="F1868" s="57"/>
      <c r="G1868" s="57"/>
      <c r="H1868" s="57"/>
      <c r="I1868" s="57"/>
      <c r="J1868" s="57"/>
      <c r="K1868" s="57"/>
      <c r="L1868" s="57"/>
      <c r="M1868" s="57"/>
      <c r="O1868" s="69"/>
      <c r="P1868" s="57"/>
    </row>
    <row r="1869" spans="1:16" x14ac:dyDescent="0.2">
      <c r="A1869" s="57"/>
      <c r="B1869" s="69"/>
      <c r="C1869" s="57"/>
      <c r="D1869" s="57"/>
      <c r="E1869" s="57"/>
      <c r="F1869" s="57"/>
      <c r="G1869" s="57"/>
      <c r="H1869" s="57"/>
      <c r="I1869" s="57"/>
      <c r="J1869" s="57"/>
      <c r="K1869" s="57"/>
      <c r="L1869" s="57"/>
      <c r="M1869" s="57"/>
      <c r="O1869" s="69"/>
      <c r="P1869" s="57"/>
    </row>
    <row r="1870" spans="1:16" x14ac:dyDescent="0.2">
      <c r="A1870" s="57"/>
      <c r="B1870" s="69"/>
      <c r="C1870" s="57"/>
      <c r="D1870" s="57"/>
      <c r="E1870" s="57"/>
      <c r="F1870" s="57"/>
      <c r="G1870" s="57"/>
      <c r="H1870" s="57"/>
      <c r="I1870" s="57"/>
      <c r="J1870" s="57"/>
      <c r="K1870" s="57"/>
      <c r="L1870" s="57"/>
      <c r="M1870" s="57"/>
      <c r="O1870" s="69"/>
      <c r="P1870" s="57"/>
    </row>
    <row r="1871" spans="1:16" x14ac:dyDescent="0.2">
      <c r="A1871" s="57"/>
      <c r="B1871" s="69"/>
      <c r="C1871" s="57"/>
      <c r="D1871" s="57"/>
      <c r="E1871" s="57"/>
      <c r="F1871" s="57"/>
      <c r="G1871" s="57"/>
      <c r="H1871" s="57"/>
      <c r="I1871" s="57"/>
      <c r="J1871" s="57"/>
      <c r="K1871" s="57"/>
      <c r="L1871" s="57"/>
      <c r="M1871" s="57"/>
      <c r="O1871" s="69"/>
      <c r="P1871" s="57"/>
    </row>
    <row r="1872" spans="1:16" x14ac:dyDescent="0.2">
      <c r="A1872" s="57"/>
      <c r="B1872" s="69"/>
      <c r="C1872" s="57"/>
      <c r="D1872" s="57"/>
      <c r="E1872" s="57"/>
      <c r="F1872" s="57"/>
      <c r="G1872" s="57"/>
      <c r="H1872" s="57"/>
      <c r="I1872" s="57"/>
      <c r="J1872" s="57"/>
      <c r="K1872" s="57"/>
      <c r="L1872" s="57"/>
      <c r="M1872" s="57"/>
      <c r="O1872" s="69"/>
      <c r="P1872" s="57"/>
    </row>
    <row r="1873" spans="1:16" x14ac:dyDescent="0.2">
      <c r="A1873" s="57"/>
      <c r="B1873" s="69"/>
      <c r="C1873" s="57"/>
      <c r="D1873" s="57"/>
      <c r="E1873" s="57"/>
      <c r="F1873" s="57"/>
      <c r="G1873" s="57"/>
      <c r="H1873" s="57"/>
      <c r="I1873" s="57"/>
      <c r="J1873" s="57"/>
      <c r="K1873" s="57"/>
      <c r="L1873" s="57"/>
      <c r="M1873" s="57"/>
      <c r="O1873" s="69"/>
      <c r="P1873" s="57"/>
    </row>
    <row r="1874" spans="1:16" x14ac:dyDescent="0.2">
      <c r="A1874" s="57"/>
      <c r="B1874" s="69"/>
      <c r="C1874" s="57"/>
      <c r="D1874" s="57"/>
      <c r="E1874" s="57"/>
      <c r="F1874" s="57"/>
      <c r="G1874" s="57"/>
      <c r="H1874" s="57"/>
      <c r="I1874" s="57"/>
      <c r="J1874" s="57"/>
      <c r="K1874" s="57"/>
      <c r="L1874" s="57"/>
      <c r="M1874" s="57"/>
      <c r="O1874" s="69"/>
      <c r="P1874" s="57"/>
    </row>
    <row r="1875" spans="1:16" x14ac:dyDescent="0.2">
      <c r="A1875" s="57"/>
      <c r="B1875" s="69"/>
      <c r="C1875" s="57"/>
      <c r="D1875" s="57"/>
      <c r="E1875" s="57"/>
      <c r="F1875" s="57"/>
      <c r="G1875" s="57"/>
      <c r="H1875" s="57"/>
      <c r="I1875" s="57"/>
      <c r="J1875" s="57"/>
      <c r="K1875" s="57"/>
      <c r="L1875" s="57"/>
      <c r="M1875" s="57"/>
      <c r="O1875" s="69"/>
      <c r="P1875" s="57"/>
    </row>
    <row r="1876" spans="1:16" x14ac:dyDescent="0.2">
      <c r="A1876" s="57"/>
      <c r="B1876" s="69"/>
      <c r="C1876" s="57"/>
      <c r="D1876" s="57"/>
      <c r="E1876" s="57"/>
      <c r="F1876" s="57"/>
      <c r="G1876" s="57"/>
      <c r="H1876" s="57"/>
      <c r="I1876" s="57"/>
      <c r="J1876" s="57"/>
      <c r="K1876" s="57"/>
      <c r="L1876" s="57"/>
      <c r="M1876" s="57"/>
      <c r="O1876" s="69"/>
      <c r="P1876" s="57"/>
    </row>
    <row r="1877" spans="1:16" x14ac:dyDescent="0.2">
      <c r="A1877" s="57"/>
      <c r="B1877" s="69"/>
      <c r="C1877" s="57"/>
      <c r="D1877" s="57"/>
      <c r="E1877" s="57"/>
      <c r="F1877" s="57"/>
      <c r="G1877" s="57"/>
      <c r="H1877" s="57"/>
      <c r="I1877" s="57"/>
      <c r="J1877" s="57"/>
      <c r="K1877" s="57"/>
      <c r="L1877" s="57"/>
      <c r="M1877" s="57"/>
      <c r="O1877" s="69"/>
      <c r="P1877" s="57"/>
    </row>
    <row r="1878" spans="1:16" x14ac:dyDescent="0.2">
      <c r="A1878" s="57"/>
      <c r="B1878" s="69"/>
      <c r="C1878" s="57"/>
      <c r="D1878" s="57"/>
      <c r="E1878" s="57"/>
      <c r="F1878" s="57"/>
      <c r="G1878" s="57"/>
      <c r="H1878" s="57"/>
      <c r="I1878" s="57"/>
      <c r="J1878" s="57"/>
      <c r="K1878" s="57"/>
      <c r="L1878" s="57"/>
      <c r="M1878" s="57"/>
      <c r="O1878" s="69"/>
      <c r="P1878" s="57"/>
    </row>
    <row r="1879" spans="1:16" x14ac:dyDescent="0.2">
      <c r="A1879" s="57"/>
      <c r="B1879" s="69"/>
      <c r="C1879" s="57"/>
      <c r="D1879" s="57"/>
      <c r="E1879" s="57"/>
      <c r="F1879" s="57"/>
      <c r="G1879" s="57"/>
      <c r="H1879" s="57"/>
      <c r="I1879" s="57"/>
      <c r="J1879" s="57"/>
      <c r="K1879" s="57"/>
      <c r="L1879" s="57"/>
      <c r="M1879" s="57"/>
      <c r="O1879" s="69"/>
      <c r="P1879" s="57"/>
    </row>
    <row r="1880" spans="1:16" x14ac:dyDescent="0.2">
      <c r="A1880" s="57"/>
      <c r="B1880" s="69"/>
      <c r="C1880" s="57"/>
      <c r="D1880" s="57"/>
      <c r="E1880" s="57"/>
      <c r="F1880" s="57"/>
      <c r="G1880" s="57"/>
      <c r="H1880" s="57"/>
      <c r="I1880" s="57"/>
      <c r="J1880" s="57"/>
      <c r="K1880" s="57"/>
      <c r="L1880" s="57"/>
      <c r="M1880" s="57"/>
      <c r="O1880" s="69"/>
      <c r="P1880" s="57"/>
    </row>
    <row r="1881" spans="1:16" x14ac:dyDescent="0.2">
      <c r="A1881" s="57"/>
      <c r="B1881" s="69"/>
      <c r="C1881" s="57"/>
      <c r="D1881" s="57"/>
      <c r="E1881" s="57"/>
      <c r="F1881" s="57"/>
      <c r="G1881" s="57"/>
      <c r="H1881" s="57"/>
      <c r="I1881" s="57"/>
      <c r="J1881" s="57"/>
      <c r="K1881" s="57"/>
      <c r="L1881" s="57"/>
      <c r="M1881" s="57"/>
      <c r="O1881" s="69"/>
      <c r="P1881" s="57"/>
    </row>
    <row r="1882" spans="1:16" x14ac:dyDescent="0.2">
      <c r="A1882" s="57"/>
      <c r="B1882" s="69"/>
      <c r="C1882" s="57"/>
      <c r="D1882" s="57"/>
      <c r="E1882" s="57"/>
      <c r="F1882" s="57"/>
      <c r="G1882" s="57"/>
      <c r="H1882" s="57"/>
      <c r="I1882" s="57"/>
      <c r="J1882" s="57"/>
      <c r="K1882" s="57"/>
      <c r="L1882" s="57"/>
      <c r="M1882" s="57"/>
      <c r="O1882" s="69"/>
      <c r="P1882" s="57"/>
    </row>
    <row r="1883" spans="1:16" x14ac:dyDescent="0.2">
      <c r="A1883" s="57"/>
      <c r="B1883" s="69"/>
      <c r="C1883" s="57"/>
      <c r="D1883" s="57"/>
      <c r="E1883" s="57"/>
      <c r="F1883" s="57"/>
      <c r="G1883" s="57"/>
      <c r="H1883" s="57"/>
      <c r="I1883" s="57"/>
      <c r="J1883" s="57"/>
      <c r="K1883" s="57"/>
      <c r="L1883" s="57"/>
      <c r="M1883" s="57"/>
      <c r="O1883" s="69"/>
      <c r="P1883" s="57"/>
    </row>
    <row r="1884" spans="1:16" x14ac:dyDescent="0.2">
      <c r="A1884" s="57"/>
      <c r="B1884" s="69"/>
      <c r="C1884" s="57"/>
      <c r="D1884" s="57"/>
      <c r="E1884" s="57"/>
      <c r="F1884" s="57"/>
      <c r="G1884" s="57"/>
      <c r="H1884" s="57"/>
      <c r="I1884" s="57"/>
      <c r="J1884" s="57"/>
      <c r="K1884" s="57"/>
      <c r="L1884" s="57"/>
      <c r="M1884" s="57"/>
      <c r="O1884" s="69"/>
      <c r="P1884" s="57"/>
    </row>
    <row r="1885" spans="1:16" x14ac:dyDescent="0.2">
      <c r="A1885" s="57"/>
      <c r="B1885" s="69"/>
      <c r="C1885" s="57"/>
      <c r="D1885" s="57"/>
      <c r="E1885" s="57"/>
      <c r="F1885" s="57"/>
      <c r="G1885" s="57"/>
      <c r="H1885" s="57"/>
      <c r="I1885" s="57"/>
      <c r="J1885" s="57"/>
      <c r="K1885" s="57"/>
      <c r="L1885" s="57"/>
      <c r="M1885" s="57"/>
      <c r="O1885" s="69"/>
      <c r="P1885" s="57"/>
    </row>
    <row r="1886" spans="1:16" x14ac:dyDescent="0.2">
      <c r="A1886" s="57"/>
      <c r="B1886" s="69"/>
      <c r="C1886" s="57"/>
      <c r="D1886" s="57"/>
      <c r="E1886" s="57"/>
      <c r="F1886" s="57"/>
      <c r="G1886" s="57"/>
      <c r="H1886" s="57"/>
      <c r="I1886" s="57"/>
      <c r="J1886" s="57"/>
      <c r="K1886" s="57"/>
      <c r="L1886" s="57"/>
      <c r="M1886" s="57"/>
      <c r="O1886" s="69"/>
      <c r="P1886" s="57"/>
    </row>
    <row r="1887" spans="1:16" x14ac:dyDescent="0.2">
      <c r="A1887" s="57"/>
      <c r="B1887" s="69"/>
      <c r="C1887" s="57"/>
      <c r="D1887" s="57"/>
      <c r="E1887" s="57"/>
      <c r="F1887" s="57"/>
      <c r="G1887" s="57"/>
      <c r="H1887" s="57"/>
      <c r="I1887" s="57"/>
      <c r="J1887" s="57"/>
      <c r="K1887" s="57"/>
      <c r="L1887" s="57"/>
      <c r="M1887" s="57"/>
      <c r="O1887" s="69"/>
      <c r="P1887" s="57"/>
    </row>
    <row r="1888" spans="1:16" x14ac:dyDescent="0.2">
      <c r="A1888" s="57"/>
      <c r="B1888" s="69"/>
      <c r="C1888" s="57"/>
      <c r="D1888" s="57"/>
      <c r="E1888" s="57"/>
      <c r="F1888" s="57"/>
      <c r="G1888" s="57"/>
      <c r="H1888" s="57"/>
      <c r="I1888" s="57"/>
      <c r="J1888" s="57"/>
      <c r="K1888" s="57"/>
      <c r="L1888" s="57"/>
      <c r="M1888" s="57"/>
      <c r="O1888" s="69"/>
      <c r="P1888" s="57"/>
    </row>
    <row r="1889" spans="1:16" x14ac:dyDescent="0.2">
      <c r="A1889" s="57"/>
      <c r="B1889" s="69"/>
      <c r="C1889" s="57"/>
      <c r="D1889" s="57"/>
      <c r="E1889" s="57"/>
      <c r="F1889" s="57"/>
      <c r="G1889" s="57"/>
      <c r="H1889" s="57"/>
      <c r="I1889" s="57"/>
      <c r="J1889" s="57"/>
      <c r="K1889" s="57"/>
      <c r="L1889" s="57"/>
      <c r="M1889" s="57"/>
      <c r="O1889" s="69"/>
      <c r="P1889" s="57"/>
    </row>
    <row r="1890" spans="1:16" x14ac:dyDescent="0.2">
      <c r="A1890" s="57"/>
      <c r="B1890" s="69"/>
      <c r="C1890" s="57"/>
      <c r="D1890" s="57"/>
      <c r="E1890" s="57"/>
      <c r="F1890" s="57"/>
      <c r="G1890" s="57"/>
      <c r="H1890" s="57"/>
      <c r="I1890" s="57"/>
      <c r="J1890" s="57"/>
      <c r="K1890" s="57"/>
      <c r="L1890" s="57"/>
      <c r="M1890" s="57"/>
      <c r="O1890" s="69"/>
      <c r="P1890" s="57"/>
    </row>
    <row r="1891" spans="1:16" x14ac:dyDescent="0.2">
      <c r="A1891" s="57"/>
      <c r="B1891" s="69"/>
      <c r="C1891" s="57"/>
      <c r="D1891" s="57"/>
      <c r="E1891" s="57"/>
      <c r="F1891" s="57"/>
      <c r="G1891" s="57"/>
      <c r="H1891" s="57"/>
      <c r="I1891" s="57"/>
      <c r="J1891" s="57"/>
      <c r="K1891" s="57"/>
      <c r="L1891" s="57"/>
      <c r="M1891" s="57"/>
      <c r="O1891" s="69"/>
      <c r="P1891" s="57"/>
    </row>
    <row r="1892" spans="1:16" x14ac:dyDescent="0.2">
      <c r="A1892" s="57"/>
      <c r="B1892" s="69"/>
      <c r="C1892" s="57"/>
      <c r="D1892" s="57"/>
      <c r="E1892" s="57"/>
      <c r="F1892" s="57"/>
      <c r="G1892" s="57"/>
      <c r="H1892" s="57"/>
      <c r="I1892" s="57"/>
      <c r="J1892" s="57"/>
      <c r="K1892" s="57"/>
      <c r="L1892" s="57"/>
      <c r="M1892" s="57"/>
      <c r="O1892" s="69"/>
      <c r="P1892" s="57"/>
    </row>
    <row r="1893" spans="1:16" x14ac:dyDescent="0.2">
      <c r="A1893" s="57"/>
      <c r="B1893" s="69"/>
      <c r="C1893" s="57"/>
      <c r="D1893" s="57"/>
      <c r="E1893" s="57"/>
      <c r="F1893" s="57"/>
      <c r="G1893" s="57"/>
      <c r="H1893" s="57"/>
      <c r="I1893" s="57"/>
      <c r="J1893" s="57"/>
      <c r="K1893" s="57"/>
      <c r="L1893" s="57"/>
      <c r="M1893" s="57"/>
      <c r="O1893" s="69"/>
      <c r="P1893" s="57"/>
    </row>
    <row r="1894" spans="1:16" x14ac:dyDescent="0.2">
      <c r="A1894" s="57"/>
      <c r="B1894" s="69"/>
      <c r="C1894" s="57"/>
      <c r="D1894" s="57"/>
      <c r="E1894" s="57"/>
      <c r="F1894" s="57"/>
      <c r="G1894" s="57"/>
      <c r="H1894" s="57"/>
      <c r="I1894" s="57"/>
      <c r="J1894" s="57"/>
      <c r="K1894" s="57"/>
      <c r="L1894" s="57"/>
      <c r="M1894" s="57"/>
      <c r="O1894" s="69"/>
      <c r="P1894" s="57"/>
    </row>
    <row r="1895" spans="1:16" x14ac:dyDescent="0.2">
      <c r="A1895" s="57"/>
      <c r="B1895" s="69"/>
      <c r="C1895" s="57"/>
      <c r="D1895" s="57"/>
      <c r="E1895" s="57"/>
      <c r="F1895" s="57"/>
      <c r="G1895" s="57"/>
      <c r="H1895" s="57"/>
      <c r="I1895" s="57"/>
      <c r="J1895" s="57"/>
      <c r="K1895" s="57"/>
      <c r="L1895" s="57"/>
      <c r="M1895" s="57"/>
      <c r="O1895" s="69"/>
      <c r="P1895" s="57"/>
    </row>
    <row r="1896" spans="1:16" x14ac:dyDescent="0.2">
      <c r="A1896" s="57"/>
      <c r="B1896" s="69"/>
      <c r="C1896" s="57"/>
      <c r="D1896" s="57"/>
      <c r="E1896" s="57"/>
      <c r="F1896" s="57"/>
      <c r="G1896" s="57"/>
      <c r="H1896" s="57"/>
      <c r="I1896" s="57"/>
      <c r="J1896" s="57"/>
      <c r="K1896" s="57"/>
      <c r="L1896" s="57"/>
      <c r="M1896" s="57"/>
      <c r="O1896" s="69"/>
      <c r="P1896" s="57"/>
    </row>
    <row r="1897" spans="1:16" x14ac:dyDescent="0.2">
      <c r="A1897" s="57"/>
      <c r="B1897" s="69"/>
      <c r="C1897" s="57"/>
      <c r="D1897" s="57"/>
      <c r="E1897" s="57"/>
      <c r="F1897" s="57"/>
      <c r="G1897" s="57"/>
      <c r="H1897" s="57"/>
      <c r="I1897" s="57"/>
      <c r="J1897" s="57"/>
      <c r="K1897" s="57"/>
      <c r="L1897" s="57"/>
      <c r="M1897" s="57"/>
      <c r="O1897" s="69"/>
      <c r="P1897" s="57"/>
    </row>
    <row r="1898" spans="1:16" x14ac:dyDescent="0.2">
      <c r="A1898" s="57"/>
      <c r="B1898" s="69"/>
      <c r="C1898" s="57"/>
      <c r="D1898" s="57"/>
      <c r="E1898" s="57"/>
      <c r="F1898" s="57"/>
      <c r="G1898" s="57"/>
      <c r="H1898" s="57"/>
      <c r="I1898" s="57"/>
      <c r="J1898" s="57"/>
      <c r="K1898" s="57"/>
      <c r="L1898" s="57"/>
      <c r="M1898" s="57"/>
      <c r="O1898" s="69"/>
      <c r="P1898" s="57"/>
    </row>
    <row r="1899" spans="1:16" x14ac:dyDescent="0.2">
      <c r="A1899" s="57"/>
      <c r="B1899" s="69"/>
      <c r="C1899" s="57"/>
      <c r="D1899" s="57"/>
      <c r="E1899" s="57"/>
      <c r="F1899" s="57"/>
      <c r="G1899" s="57"/>
      <c r="H1899" s="57"/>
      <c r="I1899" s="57"/>
      <c r="J1899" s="57"/>
      <c r="K1899" s="57"/>
      <c r="L1899" s="57"/>
      <c r="M1899" s="57"/>
      <c r="O1899" s="69"/>
      <c r="P1899" s="57"/>
    </row>
    <row r="1900" spans="1:16" x14ac:dyDescent="0.2">
      <c r="A1900" s="57"/>
      <c r="B1900" s="69"/>
      <c r="C1900" s="57"/>
      <c r="D1900" s="57"/>
      <c r="E1900" s="57"/>
      <c r="F1900" s="57"/>
      <c r="G1900" s="57"/>
      <c r="H1900" s="57"/>
      <c r="I1900" s="57"/>
      <c r="J1900" s="57"/>
      <c r="K1900" s="57"/>
      <c r="L1900" s="57"/>
      <c r="M1900" s="57"/>
      <c r="O1900" s="69"/>
      <c r="P1900" s="57"/>
    </row>
    <row r="1901" spans="1:16" x14ac:dyDescent="0.2">
      <c r="A1901" s="57"/>
      <c r="B1901" s="69"/>
      <c r="C1901" s="57"/>
      <c r="D1901" s="57"/>
      <c r="E1901" s="57"/>
      <c r="F1901" s="57"/>
      <c r="G1901" s="57"/>
      <c r="H1901" s="57"/>
      <c r="I1901" s="57"/>
      <c r="J1901" s="57"/>
      <c r="K1901" s="57"/>
      <c r="L1901" s="57"/>
      <c r="M1901" s="57"/>
      <c r="O1901" s="69"/>
      <c r="P1901" s="57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9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905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/>
      <c r="K2" s="147"/>
      <c r="L2" s="147"/>
      <c r="M2" s="147"/>
      <c r="N2" s="147"/>
      <c r="O2" s="147"/>
      <c r="P2" s="21"/>
      <c r="Q2" s="23"/>
      <c r="R2" s="146" t="s">
        <v>645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729</v>
      </c>
      <c r="B3" s="147"/>
      <c r="C3" s="147"/>
      <c r="D3" s="147"/>
      <c r="E3" s="147"/>
      <c r="F3" s="147"/>
      <c r="G3" s="21"/>
      <c r="H3" s="147" t="str">
        <f>IF(Karakterlap!$Y$3&gt;4,"Mf","Af")</f>
        <v>Af</v>
      </c>
      <c r="I3" s="174"/>
      <c r="J3" s="146"/>
      <c r="K3" s="147"/>
      <c r="L3" s="147"/>
      <c r="M3" s="147"/>
      <c r="N3" s="147"/>
      <c r="O3" s="147"/>
      <c r="P3" s="21"/>
      <c r="Q3" s="23"/>
      <c r="R3" s="146"/>
      <c r="S3" s="147"/>
      <c r="T3" s="147"/>
      <c r="U3" s="147"/>
      <c r="V3" s="147"/>
      <c r="W3" s="147"/>
      <c r="X3" s="21"/>
      <c r="Y3" s="147"/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677</v>
      </c>
      <c r="B4" s="147"/>
      <c r="C4" s="147"/>
      <c r="D4" s="147"/>
      <c r="E4" s="147"/>
      <c r="F4" s="147"/>
      <c r="G4" s="21"/>
      <c r="H4" s="147" t="str">
        <f>IF(Karakterlap!$Y$3&gt;6,"Mf","Af")</f>
        <v>Af</v>
      </c>
      <c r="I4" s="174"/>
      <c r="J4" s="146"/>
      <c r="K4" s="147"/>
      <c r="L4" s="147"/>
      <c r="M4" s="147"/>
      <c r="N4" s="147"/>
      <c r="O4" s="147"/>
      <c r="P4" s="21"/>
      <c r="Q4" s="23"/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676</v>
      </c>
      <c r="B5" s="147"/>
      <c r="C5" s="147"/>
      <c r="D5" s="147"/>
      <c r="E5" s="147"/>
      <c r="F5" s="147"/>
      <c r="G5" s="21"/>
      <c r="H5" s="147" t="str">
        <f>IF(Karakterlap!$Y$3&gt;2,"Mf","Af")</f>
        <v>Af</v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tr">
        <f>IF(Karakterlap!$Y$3&gt;3,"hadrend","")</f>
        <v/>
      </c>
      <c r="B6" s="147"/>
      <c r="C6" s="147"/>
      <c r="D6" s="147"/>
      <c r="E6" s="147"/>
      <c r="F6" s="147"/>
      <c r="G6" s="21"/>
      <c r="H6" s="147" t="str">
        <f>IF(Karakterlap!$Y$3&gt;3,"Af","")</f>
        <v/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0" enableFormatConditionsCalculation="0"/>
  <dimension ref="A1:AJ17"/>
  <sheetViews>
    <sheetView workbookViewId="0">
      <selection activeCell="A12" sqref="A12:I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705</v>
      </c>
      <c r="K2" s="147"/>
      <c r="L2" s="147"/>
      <c r="M2" s="147"/>
      <c r="N2" s="147"/>
      <c r="O2" s="147"/>
      <c r="P2" s="21"/>
      <c r="Q2" s="23" t="s">
        <v>642</v>
      </c>
      <c r="R2" s="146" t="s">
        <v>643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669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/>
      <c r="K3" s="147"/>
      <c r="L3" s="147"/>
      <c r="M3" s="147"/>
      <c r="N3" s="147"/>
      <c r="O3" s="147"/>
      <c r="P3" s="21"/>
      <c r="Q3" s="23"/>
      <c r="R3" s="146" t="s">
        <v>645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tr">
        <f>IF(Karakterlap!$Y$3&gt;2,"birkózás","")</f>
        <v/>
      </c>
      <c r="B4" s="147"/>
      <c r="C4" s="147"/>
      <c r="D4" s="147"/>
      <c r="E4" s="147"/>
      <c r="F4" s="147"/>
      <c r="G4" s="21"/>
      <c r="H4" s="147" t="str">
        <f>IF(Karakterlap!$Y$3&gt;2,"Af","")</f>
        <v/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731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tr">
        <f>IF(Karakterlap!$Y$3&gt;3,"fegyverhasználat (íj)","")</f>
        <v/>
      </c>
      <c r="B5" s="147"/>
      <c r="C5" s="147"/>
      <c r="D5" s="147"/>
      <c r="E5" s="147"/>
      <c r="F5" s="147"/>
      <c r="G5" s="21"/>
      <c r="H5" s="147" t="str">
        <f>IF(Karakterlap!$Y$3&gt;3,"Mf","")</f>
        <v/>
      </c>
      <c r="I5" s="174"/>
      <c r="J5" s="146"/>
      <c r="K5" s="147"/>
      <c r="L5" s="147"/>
      <c r="M5" s="147"/>
      <c r="N5" s="147"/>
      <c r="O5" s="147"/>
      <c r="P5" s="21"/>
      <c r="Q5" s="23"/>
      <c r="R5" s="146" t="str">
        <f>IF(Karakterlap!$Y$3&gt;5,"vadászat","")</f>
        <v/>
      </c>
      <c r="S5" s="147"/>
      <c r="T5" s="147"/>
      <c r="U5" s="147"/>
      <c r="V5" s="147"/>
      <c r="W5" s="147"/>
      <c r="X5" s="21"/>
      <c r="Y5" s="147" t="str">
        <f>IF(Karakterlap!$Y$3&gt;5,"Af","")</f>
        <v/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tr">
        <f>IF(Karakterlap!$Y$3&gt;6,"hadvezetés (k.lovasság)","")</f>
        <v/>
      </c>
      <c r="B6" s="147"/>
      <c r="C6" s="147"/>
      <c r="D6" s="147"/>
      <c r="E6" s="147"/>
      <c r="F6" s="147"/>
      <c r="G6" s="21"/>
      <c r="H6" s="147" t="str">
        <f>IF(Karakterlap!$Y$3&gt;6,"Af","")</f>
        <v/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/>
      <c r="K13" s="147"/>
      <c r="L13" s="147"/>
      <c r="M13" s="147"/>
      <c r="N13" s="147"/>
      <c r="O13" s="147"/>
      <c r="P13" s="21"/>
      <c r="Q13" s="23"/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/>
      <c r="K14" s="147"/>
      <c r="L14" s="147"/>
      <c r="M14" s="147"/>
      <c r="N14" s="147"/>
      <c r="O14" s="147"/>
      <c r="P14" s="21"/>
      <c r="Q14" s="23"/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/>
      <c r="K15" s="147"/>
      <c r="L15" s="147"/>
      <c r="M15" s="147"/>
      <c r="N15" s="147"/>
      <c r="O15" s="147"/>
      <c r="P15" s="21"/>
      <c r="Q15" s="23"/>
      <c r="R15" s="146"/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/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1" enableFormatConditionsCalculation="0"/>
  <dimension ref="A1:AJ17"/>
  <sheetViews>
    <sheetView workbookViewId="0">
      <selection activeCell="A12" sqref="A12:I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659</v>
      </c>
      <c r="K2" s="147"/>
      <c r="L2" s="147"/>
      <c r="M2" s="147"/>
      <c r="N2" s="147"/>
      <c r="O2" s="147"/>
      <c r="P2" s="21"/>
      <c r="Q2" s="23" t="s">
        <v>642</v>
      </c>
      <c r="R2" s="146" t="s">
        <v>645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660</v>
      </c>
      <c r="K3" s="147"/>
      <c r="L3" s="147"/>
      <c r="M3" s="147"/>
      <c r="N3" s="147"/>
      <c r="O3" s="147"/>
      <c r="P3" s="21"/>
      <c r="Q3" s="23" t="s">
        <v>642</v>
      </c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733</v>
      </c>
      <c r="K4" s="147"/>
      <c r="L4" s="147"/>
      <c r="M4" s="147"/>
      <c r="N4" s="147"/>
      <c r="O4" s="147"/>
      <c r="P4" s="21"/>
      <c r="Q4" s="23" t="str">
        <f>IF(Karakterlap!$Y$3&gt;3,"Mf","Af")</f>
        <v>Af</v>
      </c>
      <c r="R4" s="146" t="s">
        <v>726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 t="s">
        <v>734</v>
      </c>
      <c r="K5" s="147"/>
      <c r="L5" s="147"/>
      <c r="M5" s="147"/>
      <c r="N5" s="147"/>
      <c r="O5" s="147"/>
      <c r="P5" s="21"/>
      <c r="Q5" s="23" t="str">
        <f>IF(Karakterlap!$Y$3&gt;5,"Mf","Af")</f>
        <v>Af</v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/>
      <c r="K13" s="147"/>
      <c r="L13" s="147"/>
      <c r="M13" s="147"/>
      <c r="N13" s="147"/>
      <c r="O13" s="147"/>
      <c r="P13" s="21"/>
      <c r="Q13" s="23"/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/>
      <c r="K14" s="147"/>
      <c r="L14" s="147"/>
      <c r="M14" s="147"/>
      <c r="N14" s="147"/>
      <c r="O14" s="147"/>
      <c r="P14" s="21"/>
      <c r="Q14" s="23"/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/>
      <c r="K15" s="147"/>
      <c r="L15" s="147"/>
      <c r="M15" s="147"/>
      <c r="N15" s="147"/>
      <c r="O15" s="147"/>
      <c r="P15" s="21"/>
      <c r="Q15" s="23"/>
      <c r="R15" s="146"/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/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2" enableFormatConditionsCalculation="0"/>
  <dimension ref="A1:AJ17"/>
  <sheetViews>
    <sheetView workbookViewId="0">
      <selection activeCell="A12" sqref="A12:I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789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/>
      <c r="K2" s="147"/>
      <c r="L2" s="147"/>
      <c r="M2" s="147"/>
      <c r="N2" s="147"/>
      <c r="O2" s="147"/>
      <c r="P2" s="21"/>
      <c r="Q2" s="23"/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669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/>
      <c r="K3" s="147"/>
      <c r="L3" s="147"/>
      <c r="M3" s="147"/>
      <c r="N3" s="147"/>
      <c r="O3" s="147"/>
      <c r="P3" s="21"/>
      <c r="Q3" s="23"/>
      <c r="R3" s="146" t="s">
        <v>645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tr">
        <f>IF(Karakterlap!$Y$3&gt;1,"harci láz","")</f>
        <v/>
      </c>
      <c r="B4" s="147"/>
      <c r="C4" s="147"/>
      <c r="D4" s="147"/>
      <c r="E4" s="147"/>
      <c r="F4" s="147"/>
      <c r="G4" s="21"/>
      <c r="H4" s="147" t="str">
        <f>IF(Karakterlap!$Y$3&gt;1,"Af","")</f>
        <v/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735</v>
      </c>
      <c r="S4" s="147"/>
      <c r="T4" s="147"/>
      <c r="U4" s="147"/>
      <c r="V4" s="147"/>
      <c r="W4" s="147"/>
      <c r="X4" s="21"/>
      <c r="Y4" s="147" t="str">
        <f>IF(Karakterlap!$Y$3&gt;3,"Mf","Af")</f>
        <v>Af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/>
      <c r="K5" s="147"/>
      <c r="L5" s="147"/>
      <c r="M5" s="147"/>
      <c r="N5" s="147"/>
      <c r="O5" s="147"/>
      <c r="P5" s="21"/>
      <c r="Q5" s="23"/>
      <c r="R5" s="146" t="str">
        <f>IF(Karakterlap!$Y$3&gt;5,"nyomolv./elt. (sivatag)","")</f>
        <v/>
      </c>
      <c r="S5" s="147"/>
      <c r="T5" s="147"/>
      <c r="U5" s="147"/>
      <c r="V5" s="147"/>
      <c r="W5" s="147"/>
      <c r="X5" s="21"/>
      <c r="Y5" s="147" t="str">
        <f>IF(Karakterlap!$Y$3&gt;5,"Af","")</f>
        <v/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/>
      <c r="K13" s="147"/>
      <c r="L13" s="147"/>
      <c r="M13" s="147"/>
      <c r="N13" s="147"/>
      <c r="O13" s="147"/>
      <c r="P13" s="21"/>
      <c r="Q13" s="23"/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/>
      <c r="K14" s="147"/>
      <c r="L14" s="147"/>
      <c r="M14" s="147"/>
      <c r="N14" s="147"/>
      <c r="O14" s="147"/>
      <c r="P14" s="21"/>
      <c r="Q14" s="23"/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/>
      <c r="K15" s="147"/>
      <c r="L15" s="147"/>
      <c r="M15" s="147"/>
      <c r="N15" s="147"/>
      <c r="O15" s="147"/>
      <c r="P15" s="21"/>
      <c r="Q15" s="23"/>
      <c r="R15" s="146"/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/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3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905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/>
      <c r="K2" s="147"/>
      <c r="L2" s="147"/>
      <c r="M2" s="147"/>
      <c r="N2" s="147"/>
      <c r="O2" s="147"/>
      <c r="P2" s="21"/>
      <c r="Q2" s="23"/>
      <c r="R2" s="146" t="s">
        <v>736</v>
      </c>
      <c r="S2" s="147"/>
      <c r="T2" s="147"/>
      <c r="U2" s="147"/>
      <c r="V2" s="147"/>
      <c r="W2" s="147"/>
      <c r="X2" s="21"/>
      <c r="Y2" s="147" t="str">
        <f>IF(Karakterlap!$Y$3&gt;7,"Mf","Af")</f>
        <v>Af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670</v>
      </c>
      <c r="B3" s="147"/>
      <c r="C3" s="147"/>
      <c r="D3" s="147"/>
      <c r="E3" s="147"/>
      <c r="F3" s="147"/>
      <c r="G3" s="21"/>
      <c r="H3" s="147" t="str">
        <f>IF(Karakterlap!$Y$3&gt;2,"Mf","Af")</f>
        <v>Af</v>
      </c>
      <c r="I3" s="174"/>
      <c r="J3" s="146"/>
      <c r="K3" s="147"/>
      <c r="L3" s="147"/>
      <c r="M3" s="147"/>
      <c r="N3" s="147"/>
      <c r="O3" s="147"/>
      <c r="P3" s="21"/>
      <c r="Q3" s="23"/>
      <c r="R3" s="146" t="s">
        <v>645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669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/>
      <c r="K4" s="147"/>
      <c r="L4" s="147"/>
      <c r="M4" s="147"/>
      <c r="N4" s="147"/>
      <c r="O4" s="147"/>
      <c r="P4" s="21"/>
      <c r="Q4" s="23"/>
      <c r="R4" s="146"/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677</v>
      </c>
      <c r="B5" s="147"/>
      <c r="C5" s="147"/>
      <c r="D5" s="147"/>
      <c r="E5" s="147"/>
      <c r="F5" s="147"/>
      <c r="G5" s="21"/>
      <c r="H5" s="147" t="s">
        <v>642</v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676</v>
      </c>
      <c r="B6" s="147"/>
      <c r="C6" s="147"/>
      <c r="D6" s="147"/>
      <c r="E6" s="147"/>
      <c r="F6" s="147"/>
      <c r="G6" s="21"/>
      <c r="H6" s="147" t="str">
        <f>IF(Karakterlap!$Y$3&gt;5,"Mf","Af")</f>
        <v>Af</v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 t="str">
        <f>IF(Karakterlap!$Y$3&gt;1,"fegyverhasználat","")</f>
        <v/>
      </c>
      <c r="B7" s="147"/>
      <c r="C7" s="147"/>
      <c r="D7" s="147"/>
      <c r="E7" s="147"/>
      <c r="F7" s="147"/>
      <c r="G7" s="21"/>
      <c r="H7" s="147" t="str">
        <f>IF(Karakterlap!$Y$3&gt;1,"Af","")</f>
        <v/>
      </c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 t="str">
        <f>IF(Karakterlap!$Y$3&gt;3,"fegyverhasználat","")</f>
        <v/>
      </c>
      <c r="B8" s="147"/>
      <c r="C8" s="147"/>
      <c r="D8" s="147"/>
      <c r="E8" s="147"/>
      <c r="F8" s="147"/>
      <c r="G8" s="21"/>
      <c r="H8" s="147" t="str">
        <f>IF(Karakterlap!$Y$3&gt;3,"Af","")</f>
        <v/>
      </c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 t="str">
        <f>IF(Karakterlap!$Y$3&gt;3,"fegyverhasználat","")</f>
        <v/>
      </c>
      <c r="B9" s="147"/>
      <c r="C9" s="147"/>
      <c r="D9" s="147"/>
      <c r="E9" s="147"/>
      <c r="F9" s="147"/>
      <c r="G9" s="21"/>
      <c r="H9" s="147" t="str">
        <f>IF(Karakterlap!$Y$3&gt;3,"Mf","")</f>
        <v/>
      </c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 t="str">
        <f>IF(Karakterlap!$Y$3&gt;3,"fegyverhasználat","")</f>
        <v/>
      </c>
      <c r="B10" s="147"/>
      <c r="C10" s="147"/>
      <c r="D10" s="147"/>
      <c r="E10" s="147"/>
      <c r="F10" s="147"/>
      <c r="G10" s="21"/>
      <c r="H10" s="147" t="str">
        <f>IF(Karakterlap!$Y$3&gt;6,"Af","")</f>
        <v/>
      </c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tr">
        <f>IF(Karakterlap!$Y$3&gt;6,"kétkezes harc","")</f>
        <v/>
      </c>
      <c r="B11" s="147"/>
      <c r="C11" s="147"/>
      <c r="D11" s="147"/>
      <c r="E11" s="147"/>
      <c r="F11" s="147"/>
      <c r="G11" s="21"/>
      <c r="H11" s="147" t="str">
        <f>IF(Karakterlap!$Y$3&gt;6,"Af","")</f>
        <v/>
      </c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IF(Karakterlap!$Y$3&gt;8,"fegyvertörés","")</f>
        <v/>
      </c>
      <c r="B12" s="147"/>
      <c r="C12" s="147"/>
      <c r="D12" s="147"/>
      <c r="E12" s="147"/>
      <c r="F12" s="147"/>
      <c r="G12" s="21"/>
      <c r="H12" s="147" t="str">
        <f>IF(Karakterlap!$Y$3&gt;8,"Af","")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4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789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/>
      <c r="K2" s="147"/>
      <c r="L2" s="147"/>
      <c r="M2" s="147"/>
      <c r="N2" s="147"/>
      <c r="O2" s="147"/>
      <c r="P2" s="21"/>
      <c r="Q2" s="23"/>
      <c r="R2" s="146" t="s">
        <v>645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687</v>
      </c>
      <c r="B3" s="147"/>
      <c r="C3" s="147"/>
      <c r="D3" s="147"/>
      <c r="E3" s="147"/>
      <c r="F3" s="147"/>
      <c r="G3" s="21"/>
      <c r="H3" s="147" t="str">
        <f>IF(Karakterlap!$Y$3&gt;5,"Mf","Af")</f>
        <v>Af</v>
      </c>
      <c r="I3" s="174"/>
      <c r="J3" s="146"/>
      <c r="K3" s="147"/>
      <c r="L3" s="147"/>
      <c r="M3" s="147"/>
      <c r="N3" s="147"/>
      <c r="O3" s="147"/>
      <c r="P3" s="21"/>
      <c r="Q3" s="23"/>
      <c r="R3" s="146"/>
      <c r="S3" s="147"/>
      <c r="T3" s="147"/>
      <c r="U3" s="147"/>
      <c r="V3" s="147"/>
      <c r="W3" s="147"/>
      <c r="X3" s="21"/>
      <c r="Y3" s="147"/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678</v>
      </c>
      <c r="B4" s="147"/>
      <c r="C4" s="147"/>
      <c r="D4" s="147"/>
      <c r="E4" s="147"/>
      <c r="F4" s="147"/>
      <c r="G4" s="21"/>
      <c r="H4" s="147" t="str">
        <f>IF(Karakterlap!$Y$3&gt;4,"Mf","Af")</f>
        <v>Af</v>
      </c>
      <c r="I4" s="174"/>
      <c r="J4" s="146"/>
      <c r="K4" s="147"/>
      <c r="L4" s="147"/>
      <c r="M4" s="147"/>
      <c r="N4" s="147"/>
      <c r="O4" s="147"/>
      <c r="P4" s="21"/>
      <c r="Q4" s="23"/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677</v>
      </c>
      <c r="B5" s="147"/>
      <c r="C5" s="147"/>
      <c r="D5" s="147"/>
      <c r="E5" s="147"/>
      <c r="F5" s="147"/>
      <c r="G5" s="21"/>
      <c r="H5" s="147" t="str">
        <f>IF(Karakterlap!$Y$3&gt;6,"Mf","Af")</f>
        <v>Af</v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676</v>
      </c>
      <c r="B6" s="147"/>
      <c r="C6" s="147"/>
      <c r="D6" s="147"/>
      <c r="E6" s="147"/>
      <c r="F6" s="147"/>
      <c r="G6" s="21"/>
      <c r="H6" s="147" t="str">
        <f>IF(Karakterlap!$Y$3&gt;2,"Mf","Af")</f>
        <v>Af</v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5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789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740</v>
      </c>
      <c r="K2" s="147"/>
      <c r="L2" s="147"/>
      <c r="M2" s="147"/>
      <c r="N2" s="147"/>
      <c r="O2" s="147"/>
      <c r="P2" s="21"/>
      <c r="Q2" s="23" t="s">
        <v>642</v>
      </c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908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tr">
        <f>IF(Karakterlap!$Y$3&gt;2,"méregkeverés","")</f>
        <v/>
      </c>
      <c r="K3" s="147"/>
      <c r="L3" s="147"/>
      <c r="M3" s="147"/>
      <c r="N3" s="147"/>
      <c r="O3" s="147"/>
      <c r="P3" s="21"/>
      <c r="Q3" s="23" t="str">
        <f>IF(Karakterlap!$Y$3&gt;2,"Af","")</f>
        <v/>
      </c>
      <c r="R3" s="146" t="s">
        <v>645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tr">
        <f>IF(Karakterlap!$Y$3&gt;3,"fegyverhasználat","")</f>
        <v/>
      </c>
      <c r="B4" s="147"/>
      <c r="C4" s="147"/>
      <c r="D4" s="147"/>
      <c r="E4" s="147"/>
      <c r="F4" s="147"/>
      <c r="G4" s="21"/>
      <c r="H4" s="147" t="str">
        <f>IF(Karakterlap!$Y$3&gt;3,"Af","")</f>
        <v/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741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tr">
        <f>IF(Karakterlap!$Y$3&gt;5,"hadvezetés","")</f>
        <v/>
      </c>
      <c r="B5" s="147"/>
      <c r="C5" s="147"/>
      <c r="D5" s="147"/>
      <c r="E5" s="147"/>
      <c r="F5" s="147"/>
      <c r="G5" s="21"/>
      <c r="H5" s="147" t="str">
        <f>IF(Karakterlap!$Y$3&gt;5,"Af","")</f>
        <v/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 t="s">
        <v>739</v>
      </c>
      <c r="K12" s="147"/>
      <c r="L12" s="147"/>
      <c r="M12" s="147"/>
      <c r="N12" s="147"/>
      <c r="O12" s="147"/>
      <c r="P12" s="21"/>
      <c r="Q12" s="23" t="str">
        <f>IF(Karakterlap!$Y$3&gt;4,"Mf","Af")</f>
        <v>Af</v>
      </c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6" enableFormatConditionsCalculation="0"/>
  <dimension ref="A1:AJ17"/>
  <sheetViews>
    <sheetView workbookViewId="0">
      <selection activeCell="A12" sqref="A12:I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646</v>
      </c>
      <c r="K2" s="147"/>
      <c r="L2" s="147"/>
      <c r="M2" s="147"/>
      <c r="N2" s="147"/>
      <c r="O2" s="147"/>
      <c r="P2" s="21"/>
      <c r="Q2" s="23" t="str">
        <f>IF(Karakterlap!$Y$3&gt;4,"Mf","Af")</f>
        <v>Af</v>
      </c>
      <c r="R2" s="146" t="s">
        <v>725</v>
      </c>
      <c r="S2" s="147"/>
      <c r="T2" s="147"/>
      <c r="U2" s="147"/>
      <c r="V2" s="147"/>
      <c r="W2" s="147"/>
      <c r="X2" s="21"/>
      <c r="Y2" s="147" t="str">
        <f>IF(Karakterlap!$Y$3&gt;5,"Mf","Af")</f>
        <v>Af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tr">
        <f>IF(Karakterlap!$Y$3&gt;2,"hadvezetés (tengeren)","")</f>
        <v/>
      </c>
      <c r="B3" s="147"/>
      <c r="C3" s="147"/>
      <c r="D3" s="147"/>
      <c r="E3" s="147"/>
      <c r="F3" s="147"/>
      <c r="G3" s="21"/>
      <c r="H3" s="147" t="str">
        <f>IF(Karakterlap!$Y$3&gt;7,"Mf",IF(Karakterlap!$Y$3&gt;2,"Af",""))</f>
        <v/>
      </c>
      <c r="I3" s="174"/>
      <c r="J3" s="146" t="str">
        <f>IF(Karakterlap!$Y$3&gt;3,"térképészet","")</f>
        <v/>
      </c>
      <c r="K3" s="147"/>
      <c r="L3" s="147"/>
      <c r="M3" s="147"/>
      <c r="N3" s="147"/>
      <c r="O3" s="147"/>
      <c r="P3" s="21"/>
      <c r="Q3" s="23" t="str">
        <f>IF(Karakterlap!$Y$3&gt;3,"Af","")</f>
        <v/>
      </c>
      <c r="R3" s="146" t="s">
        <v>644</v>
      </c>
      <c r="S3" s="147"/>
      <c r="T3" s="147"/>
      <c r="U3" s="147"/>
      <c r="V3" s="147"/>
      <c r="W3" s="147"/>
      <c r="X3" s="21"/>
      <c r="Y3" s="147" t="str">
        <f>IF(Karakterlap!$Y$3&gt;5,"Mf","Af")</f>
        <v>Af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/>
      <c r="K4" s="147"/>
      <c r="L4" s="147"/>
      <c r="M4" s="147"/>
      <c r="N4" s="147"/>
      <c r="O4" s="147"/>
      <c r="P4" s="21"/>
      <c r="Q4" s="23"/>
      <c r="R4" s="146" t="s">
        <v>726</v>
      </c>
      <c r="S4" s="147"/>
      <c r="T4" s="147"/>
      <c r="U4" s="147"/>
      <c r="V4" s="147"/>
      <c r="W4" s="147"/>
      <c r="X4" s="21"/>
      <c r="Y4" s="147" t="str">
        <f>IF(Karakterlap!$Y$3&gt;6,"Mf","Af")</f>
        <v>Af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/>
      <c r="K5" s="147"/>
      <c r="L5" s="147"/>
      <c r="M5" s="147"/>
      <c r="N5" s="147"/>
      <c r="O5" s="147"/>
      <c r="P5" s="21"/>
      <c r="Q5" s="23"/>
      <c r="R5" s="146" t="s">
        <v>709</v>
      </c>
      <c r="S5" s="147"/>
      <c r="T5" s="147"/>
      <c r="U5" s="147"/>
      <c r="V5" s="147"/>
      <c r="W5" s="147"/>
      <c r="X5" s="21"/>
      <c r="Y5" s="147" t="str">
        <f>IF(Karakterlap!$Y$3&gt;2,"Mf","Af")</f>
        <v>Af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/>
      <c r="K13" s="147"/>
      <c r="L13" s="147"/>
      <c r="M13" s="147"/>
      <c r="N13" s="147"/>
      <c r="O13" s="147"/>
      <c r="P13" s="21"/>
      <c r="Q13" s="23"/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/>
      <c r="K14" s="147"/>
      <c r="L14" s="147"/>
      <c r="M14" s="147"/>
      <c r="N14" s="147"/>
      <c r="O14" s="147"/>
      <c r="P14" s="21"/>
      <c r="Q14" s="23"/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/>
      <c r="K15" s="147"/>
      <c r="L15" s="147"/>
      <c r="M15" s="147"/>
      <c r="N15" s="147"/>
      <c r="O15" s="147"/>
      <c r="P15" s="21"/>
      <c r="Q15" s="23"/>
      <c r="R15" s="146"/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/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7" enableFormatConditionsCalculation="0"/>
  <dimension ref="A1:AJ17"/>
  <sheetViews>
    <sheetView workbookViewId="0">
      <selection activeCell="A12" sqref="A12:I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789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tr">
        <f>IF(Karakterlap!$Y$3&gt;1,"méregkeverés","")</f>
        <v/>
      </c>
      <c r="K2" s="147"/>
      <c r="L2" s="147"/>
      <c r="M2" s="147"/>
      <c r="N2" s="147"/>
      <c r="O2" s="147"/>
      <c r="P2" s="21"/>
      <c r="Q2" s="23" t="str">
        <f>IF(Karakterlap!$Y$3&gt;7,"Mf",IF(Karakterlap!$Y$3&gt;1,"Af",""))</f>
        <v/>
      </c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672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tr">
        <f>IF(Karakterlap!$Y$3&gt;3,"pszi","")</f>
        <v/>
      </c>
      <c r="K3" s="147"/>
      <c r="L3" s="147"/>
      <c r="M3" s="147"/>
      <c r="N3" s="147"/>
      <c r="O3" s="147"/>
      <c r="P3" s="21"/>
      <c r="Q3" s="23" t="str">
        <f>IF(Karakterlap!$Y$3&gt;3,"Af","")</f>
        <v/>
      </c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tr">
        <f>IF(Karakterlap!$Y$3&gt;5,"hadvezetés","")</f>
        <v/>
      </c>
      <c r="B4" s="147"/>
      <c r="C4" s="147"/>
      <c r="D4" s="147"/>
      <c r="E4" s="147"/>
      <c r="F4" s="147"/>
      <c r="G4" s="21"/>
      <c r="H4" s="147" t="str">
        <f>IF(Karakterlap!$Y$3&gt;5,"Af","")</f>
        <v/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645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 t="s">
        <v>739</v>
      </c>
      <c r="K12" s="147"/>
      <c r="L12" s="147"/>
      <c r="M12" s="147"/>
      <c r="N12" s="147"/>
      <c r="O12" s="147"/>
      <c r="P12" s="21"/>
      <c r="Q12" s="23" t="str">
        <f>IF(Karakterlap!$Y$3&gt;5,"Mf","Af")</f>
        <v>Af</v>
      </c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/>
      <c r="K13" s="147"/>
      <c r="L13" s="147"/>
      <c r="M13" s="147"/>
      <c r="N13" s="147"/>
      <c r="O13" s="147"/>
      <c r="P13" s="21"/>
      <c r="Q13" s="23"/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/>
      <c r="K14" s="147"/>
      <c r="L14" s="147"/>
      <c r="M14" s="147"/>
      <c r="N14" s="147"/>
      <c r="O14" s="147"/>
      <c r="P14" s="21"/>
      <c r="Q14" s="23"/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/>
      <c r="K15" s="147"/>
      <c r="L15" s="147"/>
      <c r="M15" s="147"/>
      <c r="N15" s="147"/>
      <c r="O15" s="147"/>
      <c r="P15" s="21"/>
      <c r="Q15" s="23"/>
      <c r="R15" s="146"/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/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8" enableFormatConditionsCalculation="0"/>
  <dimension ref="A1:AJ17"/>
  <sheetViews>
    <sheetView workbookViewId="0">
      <selection activeCell="A12" sqref="A12:I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789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705</v>
      </c>
      <c r="K2" s="147"/>
      <c r="L2" s="147"/>
      <c r="M2" s="147"/>
      <c r="N2" s="147"/>
      <c r="O2" s="147"/>
      <c r="P2" s="21"/>
      <c r="Q2" s="23" t="s">
        <v>642</v>
      </c>
      <c r="R2" s="146" t="s">
        <v>643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702</v>
      </c>
      <c r="B3" s="147"/>
      <c r="C3" s="147"/>
      <c r="D3" s="147"/>
      <c r="E3" s="147"/>
      <c r="F3" s="147"/>
      <c r="G3" s="21"/>
      <c r="H3" s="147" t="s">
        <v>652</v>
      </c>
      <c r="I3" s="174"/>
      <c r="J3" s="146" t="s">
        <v>647</v>
      </c>
      <c r="K3" s="147"/>
      <c r="L3" s="147"/>
      <c r="M3" s="147"/>
      <c r="N3" s="147"/>
      <c r="O3" s="147"/>
      <c r="P3" s="21"/>
      <c r="Q3" s="23" t="s">
        <v>642</v>
      </c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tr">
        <f>IF(Karakterlap!$Y$3&gt;2,"lovasíjászat","")</f>
        <v/>
      </c>
      <c r="B4" s="147"/>
      <c r="C4" s="147"/>
      <c r="D4" s="147"/>
      <c r="E4" s="147"/>
      <c r="F4" s="147"/>
      <c r="G4" s="21"/>
      <c r="H4" s="147" t="str">
        <f>IF(Karakterlap!$Y$3&gt;2,"Mf","")</f>
        <v/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645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tr">
        <f>IF(Karakterlap!$Y$3&gt;3,"célzás","")</f>
        <v/>
      </c>
      <c r="B5" s="147"/>
      <c r="C5" s="147"/>
      <c r="D5" s="147"/>
      <c r="E5" s="147"/>
      <c r="F5" s="147"/>
      <c r="G5" s="21"/>
      <c r="H5" s="147" t="str">
        <f>IF(Karakterlap!$Y$3&gt;3,"Mf","")</f>
        <v/>
      </c>
      <c r="I5" s="174"/>
      <c r="J5" s="146"/>
      <c r="K5" s="147"/>
      <c r="L5" s="147"/>
      <c r="M5" s="147"/>
      <c r="N5" s="147"/>
      <c r="O5" s="147"/>
      <c r="P5" s="21"/>
      <c r="Q5" s="23"/>
      <c r="R5" s="146" t="s">
        <v>682</v>
      </c>
      <c r="S5" s="147"/>
      <c r="T5" s="147"/>
      <c r="U5" s="147"/>
      <c r="V5" s="147"/>
      <c r="W5" s="147"/>
      <c r="X5" s="21"/>
      <c r="Y5" s="147" t="s">
        <v>652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 t="s">
        <v>703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 t="s">
        <v>704</v>
      </c>
      <c r="S7" s="147"/>
      <c r="T7" s="147"/>
      <c r="U7" s="147"/>
      <c r="V7" s="147"/>
      <c r="W7" s="147"/>
      <c r="X7" s="21"/>
      <c r="Y7" s="147" t="s">
        <v>652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/>
      <c r="K13" s="147"/>
      <c r="L13" s="147"/>
      <c r="M13" s="147"/>
      <c r="N13" s="147"/>
      <c r="O13" s="147"/>
      <c r="P13" s="21"/>
      <c r="Q13" s="23"/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/>
      <c r="K14" s="147"/>
      <c r="L14" s="147"/>
      <c r="M14" s="147"/>
      <c r="N14" s="147"/>
      <c r="O14" s="147"/>
      <c r="P14" s="21"/>
      <c r="Q14" s="23"/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/>
      <c r="K15" s="147"/>
      <c r="L15" s="147"/>
      <c r="M15" s="147"/>
      <c r="N15" s="147"/>
      <c r="O15" s="147"/>
      <c r="P15" s="21"/>
      <c r="Q15" s="23"/>
      <c r="R15" s="146"/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/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G7" sqref="G7"/>
    </sheetView>
  </sheetViews>
  <sheetFormatPr baseColWidth="10" defaultColWidth="8.83203125" defaultRowHeight="15" x14ac:dyDescent="0.2"/>
  <cols>
    <col min="1" max="1" width="12.33203125" customWidth="1"/>
    <col min="2" max="2" width="7.6640625" customWidth="1"/>
    <col min="4" max="4" width="11.5" customWidth="1"/>
    <col min="5" max="5" width="8.1640625" customWidth="1"/>
    <col min="7" max="7" width="12.1640625" customWidth="1"/>
    <col min="8" max="8" width="9.5" customWidth="1"/>
  </cols>
  <sheetData>
    <row r="1" spans="1:8" x14ac:dyDescent="0.2">
      <c r="A1" s="120" t="s">
        <v>39</v>
      </c>
      <c r="B1" s="120" t="s">
        <v>981</v>
      </c>
      <c r="D1" s="120" t="s">
        <v>35</v>
      </c>
      <c r="E1" s="120" t="s">
        <v>982</v>
      </c>
      <c r="G1" s="120" t="s">
        <v>162</v>
      </c>
      <c r="H1" s="120" t="s">
        <v>983</v>
      </c>
    </row>
    <row r="2" spans="1:8" x14ac:dyDescent="0.2">
      <c r="A2" t="s">
        <v>643</v>
      </c>
      <c r="B2" t="s">
        <v>652</v>
      </c>
      <c r="D2" t="s">
        <v>643</v>
      </c>
      <c r="E2" t="s">
        <v>652</v>
      </c>
      <c r="G2" t="s">
        <v>651</v>
      </c>
      <c r="H2" t="s">
        <v>642</v>
      </c>
    </row>
    <row r="3" spans="1:8" x14ac:dyDescent="0.2">
      <c r="A3" t="s">
        <v>651</v>
      </c>
      <c r="B3" t="s">
        <v>652</v>
      </c>
      <c r="D3" t="s">
        <v>682</v>
      </c>
      <c r="E3" t="s">
        <v>652</v>
      </c>
      <c r="G3" t="s">
        <v>784</v>
      </c>
      <c r="H3" t="s">
        <v>642</v>
      </c>
    </row>
    <row r="4" spans="1:8" x14ac:dyDescent="0.2">
      <c r="A4" t="s">
        <v>682</v>
      </c>
      <c r="B4" t="s">
        <v>652</v>
      </c>
      <c r="G4" t="s">
        <v>646</v>
      </c>
      <c r="H4" t="s">
        <v>642</v>
      </c>
    </row>
    <row r="5" spans="1:8" x14ac:dyDescent="0.2">
      <c r="G5" t="s">
        <v>644</v>
      </c>
      <c r="H5" t="s">
        <v>642</v>
      </c>
    </row>
    <row r="6" spans="1:8" x14ac:dyDescent="0.2">
      <c r="G6" t="s">
        <v>645</v>
      </c>
      <c r="H6" t="s">
        <v>652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9" enableFormatConditionsCalculation="0"/>
  <dimension ref="A1:AJ17"/>
  <sheetViews>
    <sheetView workbookViewId="0">
      <selection activeCell="A12" sqref="A12:I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746</v>
      </c>
      <c r="B2" s="147"/>
      <c r="C2" s="147"/>
      <c r="D2" s="147"/>
      <c r="E2" s="147"/>
      <c r="F2" s="147"/>
      <c r="G2" s="21"/>
      <c r="H2" s="147" t="s">
        <v>652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">
        <v>642</v>
      </c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747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/>
      <c r="K3" s="147"/>
      <c r="L3" s="147"/>
      <c r="M3" s="147"/>
      <c r="N3" s="147"/>
      <c r="O3" s="147"/>
      <c r="P3" s="21"/>
      <c r="Q3" s="23"/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676</v>
      </c>
      <c r="B4" s="147"/>
      <c r="C4" s="147"/>
      <c r="D4" s="147"/>
      <c r="E4" s="147"/>
      <c r="F4" s="147"/>
      <c r="G4" s="21"/>
      <c r="H4" s="147" t="s">
        <v>652</v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645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677</v>
      </c>
      <c r="B5" s="147"/>
      <c r="C5" s="147"/>
      <c r="D5" s="147"/>
      <c r="E5" s="147"/>
      <c r="F5" s="147"/>
      <c r="G5" s="21"/>
      <c r="H5" s="147" t="s">
        <v>642</v>
      </c>
      <c r="I5" s="174"/>
      <c r="J5" s="146"/>
      <c r="K5" s="147"/>
      <c r="L5" s="147"/>
      <c r="M5" s="147"/>
      <c r="N5" s="147"/>
      <c r="O5" s="147"/>
      <c r="P5" s="21"/>
      <c r="Q5" s="23"/>
      <c r="R5" s="146" t="s">
        <v>682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/>
      <c r="K13" s="147"/>
      <c r="L13" s="147"/>
      <c r="M13" s="147"/>
      <c r="N13" s="147"/>
      <c r="O13" s="147"/>
      <c r="P13" s="21"/>
      <c r="Q13" s="23"/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/>
      <c r="K14" s="147"/>
      <c r="L14" s="147"/>
      <c r="M14" s="147"/>
      <c r="N14" s="147"/>
      <c r="O14" s="147"/>
      <c r="P14" s="21"/>
      <c r="Q14" s="23"/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/>
      <c r="K15" s="147"/>
      <c r="L15" s="147"/>
      <c r="M15" s="147"/>
      <c r="N15" s="147"/>
      <c r="O15" s="147"/>
      <c r="P15" s="21"/>
      <c r="Q15" s="23"/>
      <c r="R15" s="146"/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/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0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749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">
        <v>642</v>
      </c>
      <c r="R2" s="146" t="s">
        <v>643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750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/>
      <c r="K3" s="147"/>
      <c r="L3" s="147"/>
      <c r="M3" s="147"/>
      <c r="N3" s="147"/>
      <c r="O3" s="147"/>
      <c r="P3" s="21"/>
      <c r="Q3" s="23"/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751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/>
      <c r="K4" s="147"/>
      <c r="L4" s="147"/>
      <c r="M4" s="147"/>
      <c r="N4" s="147"/>
      <c r="O4" s="147"/>
      <c r="P4" s="21"/>
      <c r="Q4" s="23"/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677</v>
      </c>
      <c r="B5" s="147"/>
      <c r="C5" s="147"/>
      <c r="D5" s="147"/>
      <c r="E5" s="147"/>
      <c r="F5" s="147"/>
      <c r="G5" s="21"/>
      <c r="H5" s="147" t="s">
        <v>642</v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1" enableFormatConditionsCalculation="0"/>
  <dimension ref="A1:AJ17"/>
  <sheetViews>
    <sheetView workbookViewId="0">
      <selection activeCell="A12" sqref="A12:I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753</v>
      </c>
      <c r="B2" s="147"/>
      <c r="C2" s="147"/>
      <c r="D2" s="147"/>
      <c r="E2" s="147"/>
      <c r="F2" s="147"/>
      <c r="G2" s="21"/>
      <c r="H2" s="147" t="s">
        <v>652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">
        <v>642</v>
      </c>
      <c r="R2" s="146" t="s">
        <v>645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676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tr">
        <f>IF(Karakterlap!$Y$3&gt;4,"időjóslás","")</f>
        <v/>
      </c>
      <c r="K3" s="147"/>
      <c r="L3" s="147"/>
      <c r="M3" s="147"/>
      <c r="N3" s="147"/>
      <c r="O3" s="147"/>
      <c r="P3" s="21"/>
      <c r="Q3" s="23" t="str">
        <f>IF(Karakterlap!$Y$3&gt;4,"Af","")</f>
        <v/>
      </c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655</v>
      </c>
      <c r="B4" s="147"/>
      <c r="C4" s="147"/>
      <c r="D4" s="147"/>
      <c r="E4" s="147"/>
      <c r="F4" s="147"/>
      <c r="G4" s="21"/>
      <c r="H4" s="147" t="s">
        <v>652</v>
      </c>
      <c r="I4" s="174"/>
      <c r="J4" s="146"/>
      <c r="K4" s="147"/>
      <c r="L4" s="147"/>
      <c r="M4" s="147"/>
      <c r="N4" s="147"/>
      <c r="O4" s="147"/>
      <c r="P4" s="21"/>
      <c r="Q4" s="23"/>
      <c r="R4" s="146" t="str">
        <f>IF(Karakterlap!$Y$3&gt;2,"erdőjárás","")</f>
        <v/>
      </c>
      <c r="S4" s="147"/>
      <c r="T4" s="147"/>
      <c r="U4" s="147"/>
      <c r="V4" s="147"/>
      <c r="W4" s="147"/>
      <c r="X4" s="21"/>
      <c r="Y4" s="147" t="str">
        <f>IF(Karakterlap!$Y$3&gt;2,"Mf","")</f>
        <v/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/>
      <c r="K5" s="147"/>
      <c r="L5" s="147"/>
      <c r="M5" s="147"/>
      <c r="N5" s="147"/>
      <c r="O5" s="147"/>
      <c r="P5" s="21"/>
      <c r="Q5" s="23"/>
      <c r="R5" s="146" t="str">
        <f>IF(Karakterlap!$Y$3&gt;3,"nyomolv./eltüntetés","")</f>
        <v/>
      </c>
      <c r="S5" s="147"/>
      <c r="T5" s="147"/>
      <c r="U5" s="147"/>
      <c r="V5" s="147"/>
      <c r="W5" s="147"/>
      <c r="X5" s="21"/>
      <c r="Y5" s="147" t="str">
        <f>IF(Karakterlap!$Y$3&gt;3,"Mf","")</f>
        <v/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/>
      <c r="K13" s="147"/>
      <c r="L13" s="147"/>
      <c r="M13" s="147"/>
      <c r="N13" s="147"/>
      <c r="O13" s="147"/>
      <c r="P13" s="21"/>
      <c r="Q13" s="23"/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/>
      <c r="K14" s="147"/>
      <c r="L14" s="147"/>
      <c r="M14" s="147"/>
      <c r="N14" s="147"/>
      <c r="O14" s="147"/>
      <c r="P14" s="21"/>
      <c r="Q14" s="23"/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/>
      <c r="K15" s="147"/>
      <c r="L15" s="147"/>
      <c r="M15" s="147"/>
      <c r="N15" s="147"/>
      <c r="O15" s="147"/>
      <c r="P15" s="21"/>
      <c r="Q15" s="23"/>
      <c r="R15" s="146"/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/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2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755</v>
      </c>
      <c r="B2" s="147"/>
      <c r="C2" s="147"/>
      <c r="D2" s="147"/>
      <c r="E2" s="147"/>
      <c r="F2" s="147"/>
      <c r="G2" s="21"/>
      <c r="H2" s="147" t="s">
        <v>652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">
        <v>642</v>
      </c>
      <c r="R2" s="146" t="s">
        <v>645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756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/>
      <c r="K3" s="147"/>
      <c r="L3" s="147"/>
      <c r="M3" s="147"/>
      <c r="N3" s="147"/>
      <c r="O3" s="147"/>
      <c r="P3" s="21"/>
      <c r="Q3" s="23"/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757</v>
      </c>
      <c r="B4" s="147"/>
      <c r="C4" s="147"/>
      <c r="D4" s="147"/>
      <c r="E4" s="147"/>
      <c r="F4" s="147"/>
      <c r="G4" s="21"/>
      <c r="H4" s="147" t="s">
        <v>652</v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758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669</v>
      </c>
      <c r="B5" s="147"/>
      <c r="C5" s="147"/>
      <c r="D5" s="147"/>
      <c r="E5" s="147"/>
      <c r="F5" s="147"/>
      <c r="G5" s="21"/>
      <c r="H5" s="147" t="s">
        <v>642</v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759</v>
      </c>
      <c r="B6" s="147"/>
      <c r="C6" s="147"/>
      <c r="D6" s="147"/>
      <c r="E6" s="147"/>
      <c r="F6" s="147"/>
      <c r="G6" s="21"/>
      <c r="H6" s="147" t="s">
        <v>642</v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3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905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/>
      <c r="K2" s="147"/>
      <c r="L2" s="147"/>
      <c r="M2" s="147"/>
      <c r="N2" s="147"/>
      <c r="O2" s="147"/>
      <c r="P2" s="21"/>
      <c r="Q2" s="23"/>
      <c r="R2" s="146"/>
      <c r="S2" s="147"/>
      <c r="T2" s="147"/>
      <c r="U2" s="147"/>
      <c r="V2" s="147"/>
      <c r="W2" s="147"/>
      <c r="X2" s="21"/>
      <c r="Y2" s="147"/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670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/>
      <c r="K3" s="147"/>
      <c r="L3" s="147"/>
      <c r="M3" s="147"/>
      <c r="N3" s="147"/>
      <c r="O3" s="147"/>
      <c r="P3" s="21"/>
      <c r="Q3" s="23"/>
      <c r="R3" s="146"/>
      <c r="S3" s="147"/>
      <c r="T3" s="147"/>
      <c r="U3" s="147"/>
      <c r="V3" s="147"/>
      <c r="W3" s="147"/>
      <c r="X3" s="21"/>
      <c r="Y3" s="147"/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669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/>
      <c r="K4" s="147"/>
      <c r="L4" s="147"/>
      <c r="M4" s="147"/>
      <c r="N4" s="147"/>
      <c r="O4" s="147"/>
      <c r="P4" s="21"/>
      <c r="Q4" s="23"/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699</v>
      </c>
      <c r="B5" s="147"/>
      <c r="C5" s="147"/>
      <c r="D5" s="147"/>
      <c r="E5" s="147"/>
      <c r="F5" s="147"/>
      <c r="G5" s="21"/>
      <c r="H5" s="147" t="str">
        <f>IF(Karakterlap!$Y$3&gt;4,"Mf","Af")</f>
        <v>Af</v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677</v>
      </c>
      <c r="B6" s="147"/>
      <c r="C6" s="147"/>
      <c r="D6" s="147"/>
      <c r="E6" s="147"/>
      <c r="F6" s="147"/>
      <c r="G6" s="21"/>
      <c r="H6" s="147" t="s">
        <v>642</v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 t="s">
        <v>676</v>
      </c>
      <c r="B7" s="147"/>
      <c r="C7" s="147"/>
      <c r="D7" s="147"/>
      <c r="E7" s="147"/>
      <c r="F7" s="147"/>
      <c r="G7" s="21"/>
      <c r="H7" s="147" t="str">
        <f>IF(Karakterlap!$Y$3&gt;6,"Mf","Af")</f>
        <v>Af</v>
      </c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 t="s">
        <v>671</v>
      </c>
      <c r="B8" s="147"/>
      <c r="C8" s="147"/>
      <c r="D8" s="147"/>
      <c r="E8" s="147"/>
      <c r="F8" s="147"/>
      <c r="G8" s="21"/>
      <c r="H8" s="147" t="str">
        <f>IF(Karakterlap!$Y$3&gt;8,"Mf","Af")</f>
        <v>Af</v>
      </c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 t="s">
        <v>761</v>
      </c>
      <c r="B9" s="147"/>
      <c r="C9" s="147"/>
      <c r="D9" s="147"/>
      <c r="E9" s="147"/>
      <c r="F9" s="147"/>
      <c r="G9" s="21"/>
      <c r="H9" s="147" t="s">
        <v>642</v>
      </c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 t="s">
        <v>672</v>
      </c>
      <c r="B10" s="147"/>
      <c r="C10" s="147"/>
      <c r="D10" s="147"/>
      <c r="E10" s="147"/>
      <c r="F10" s="147"/>
      <c r="G10" s="21"/>
      <c r="H10" s="147" t="s">
        <v>642</v>
      </c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tr">
        <f>IF(Karakterlap!$Y$3&gt;1,"fegyverhasználat","")</f>
        <v/>
      </c>
      <c r="B11" s="147"/>
      <c r="C11" s="147"/>
      <c r="D11" s="147"/>
      <c r="E11" s="147"/>
      <c r="F11" s="147"/>
      <c r="G11" s="21"/>
      <c r="H11" s="147" t="str">
        <f>IF(Karakterlap!$Y$3&gt;1,"Af","")</f>
        <v/>
      </c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IF(Karakterlap!$Y$3&gt;3,"fegyverhasználat","")</f>
        <v/>
      </c>
      <c r="B12" s="147"/>
      <c r="C12" s="147"/>
      <c r="D12" s="147"/>
      <c r="E12" s="147"/>
      <c r="F12" s="147"/>
      <c r="G12" s="21"/>
      <c r="H12" s="147" t="str">
        <f>IF(Karakterlap!$Y$3&gt;3,"Af","")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341" t="str">
        <f>IF(Karakterlap!$Y$3&gt;3,"fegyverhasználat","")</f>
        <v/>
      </c>
      <c r="B13" s="342"/>
      <c r="C13" s="342"/>
      <c r="D13" s="342"/>
      <c r="E13" s="342"/>
      <c r="F13" s="168"/>
      <c r="G13" s="21"/>
      <c r="H13" s="339" t="str">
        <f>IF(Karakterlap!$Y$3&gt;3,"Mf","")</f>
        <v/>
      </c>
      <c r="I13" s="340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341" t="str">
        <f>IF(Karakterlap!$Y$3&gt;5,"vakharc","")</f>
        <v/>
      </c>
      <c r="B14" s="342"/>
      <c r="C14" s="342"/>
      <c r="D14" s="342"/>
      <c r="E14" s="342"/>
      <c r="F14" s="168"/>
      <c r="G14" s="21"/>
      <c r="H14" s="339" t="str">
        <f>IF(Karakterlap!$Y$3&gt;5,"Af","")</f>
        <v/>
      </c>
      <c r="I14" s="340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341" t="str">
        <f>IF(Karakterlap!$Y$3&gt;6,"2 fegyverhasználat","")</f>
        <v/>
      </c>
      <c r="B15" s="342"/>
      <c r="C15" s="342"/>
      <c r="D15" s="342"/>
      <c r="E15" s="342"/>
      <c r="F15" s="168"/>
      <c r="G15" s="21"/>
      <c r="H15" s="339" t="str">
        <f>IF(Karakterlap!$Y$3&gt;6,"Af","")</f>
        <v/>
      </c>
      <c r="I15" s="340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4" enableFormatConditionsCalculation="0"/>
  <dimension ref="A1:AJ17"/>
  <sheetViews>
    <sheetView workbookViewId="0">
      <selection activeCell="A12" sqref="A12:I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909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tr">
        <f>IF(Karakterlap!$Y$3&gt;4,"Mf","Af")</f>
        <v>Af</v>
      </c>
      <c r="R2" s="146" t="s">
        <v>649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910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/>
      <c r="K3" s="147"/>
      <c r="L3" s="147"/>
      <c r="M3" s="147"/>
      <c r="N3" s="147"/>
      <c r="O3" s="147"/>
      <c r="P3" s="21"/>
      <c r="Q3" s="23"/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669</v>
      </c>
      <c r="B4" s="147"/>
      <c r="C4" s="147"/>
      <c r="D4" s="147"/>
      <c r="E4" s="147"/>
      <c r="F4" s="147"/>
      <c r="G4" s="21"/>
      <c r="H4" s="147" t="str">
        <f>IF(Karakterlap!$Y$3&gt;1,"Mf","Af")</f>
        <v>Af</v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645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672</v>
      </c>
      <c r="B5" s="147"/>
      <c r="C5" s="147"/>
      <c r="D5" s="147"/>
      <c r="E5" s="147"/>
      <c r="F5" s="147"/>
      <c r="G5" s="21"/>
      <c r="H5" s="339" t="s">
        <v>652</v>
      </c>
      <c r="I5" s="340"/>
      <c r="J5" s="146"/>
      <c r="K5" s="147"/>
      <c r="L5" s="147"/>
      <c r="M5" s="147"/>
      <c r="N5" s="147"/>
      <c r="O5" s="147"/>
      <c r="P5" s="21"/>
      <c r="Q5" s="23"/>
      <c r="R5" s="146" t="s">
        <v>762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tr">
        <f>IF(Karakterlap!$Y$3&gt;2,"vakharc","")</f>
        <v/>
      </c>
      <c r="B6" s="147"/>
      <c r="C6" s="147"/>
      <c r="D6" s="147"/>
      <c r="E6" s="147"/>
      <c r="F6" s="147"/>
      <c r="G6" s="21"/>
      <c r="H6" s="339" t="str">
        <f>IF(Karakterlap!$Y$3&gt;6,"Mf",IF(Karakterlap!$Y$3&gt;2,"Af",""))</f>
        <v/>
      </c>
      <c r="I6" s="340"/>
      <c r="J6" s="146"/>
      <c r="K6" s="147"/>
      <c r="L6" s="147"/>
      <c r="M6" s="147"/>
      <c r="N6" s="147"/>
      <c r="O6" s="147"/>
      <c r="P6" s="21"/>
      <c r="Q6" s="23"/>
      <c r="R6" s="146" t="str">
        <f>IF(Karakterlap!$Y$3&gt;3,"nyomolv./eltüntetés","")</f>
        <v/>
      </c>
      <c r="S6" s="147"/>
      <c r="T6" s="147"/>
      <c r="U6" s="147"/>
      <c r="V6" s="147"/>
      <c r="W6" s="147"/>
      <c r="X6" s="21"/>
      <c r="Y6" s="147" t="str">
        <f>IF(Karakterlap!$Y$3&gt;8,"Mf",IF(Karakterlap!$Y$3&gt;3,"Af",""))</f>
        <v/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 t="s">
        <v>760</v>
      </c>
      <c r="K12" s="147"/>
      <c r="L12" s="147"/>
      <c r="M12" s="147"/>
      <c r="N12" s="147"/>
      <c r="O12" s="147"/>
      <c r="P12" s="21"/>
      <c r="Q12" s="23" t="str">
        <f>IF(Karakterlap!$Y$3&gt;3,"Mf","Af")</f>
        <v>Af</v>
      </c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 t="s">
        <v>739</v>
      </c>
      <c r="K13" s="147"/>
      <c r="L13" s="147"/>
      <c r="M13" s="147"/>
      <c r="N13" s="147"/>
      <c r="O13" s="147"/>
      <c r="P13" s="21"/>
      <c r="Q13" s="23" t="s">
        <v>642</v>
      </c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 t="str">
        <f>IF(Karakterlap!$Y$3&gt;1,"kötelékből szabadulás","")</f>
        <v/>
      </c>
      <c r="K14" s="147"/>
      <c r="L14" s="147"/>
      <c r="M14" s="147"/>
      <c r="N14" s="147"/>
      <c r="O14" s="147"/>
      <c r="P14" s="21"/>
      <c r="Q14" s="23" t="str">
        <f>IF(Karakterlap!$Y$3&gt;7,"Mf",IF(Karakterlap!$Y$3&gt;1,"Af",""))</f>
        <v/>
      </c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/>
      <c r="K15" s="147"/>
      <c r="L15" s="147"/>
      <c r="M15" s="147"/>
      <c r="N15" s="147"/>
      <c r="O15" s="147"/>
      <c r="P15" s="21"/>
      <c r="Q15" s="23"/>
      <c r="R15" s="146"/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/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5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911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659</v>
      </c>
      <c r="K2" s="147"/>
      <c r="L2" s="147"/>
      <c r="M2" s="147"/>
      <c r="N2" s="147"/>
      <c r="O2" s="147"/>
      <c r="P2" s="21"/>
      <c r="Q2" s="23" t="s">
        <v>642</v>
      </c>
      <c r="R2" s="146" t="s">
        <v>643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676</v>
      </c>
      <c r="B3" s="147"/>
      <c r="C3" s="147"/>
      <c r="D3" s="147"/>
      <c r="E3" s="147"/>
      <c r="F3" s="147"/>
      <c r="G3" s="21"/>
      <c r="H3" s="147" t="str">
        <f>IF(Karakterlap!$Y$3&gt;3,"Mf","Af")</f>
        <v>Af</v>
      </c>
      <c r="I3" s="174"/>
      <c r="J3" s="146" t="s">
        <v>661</v>
      </c>
      <c r="K3" s="147"/>
      <c r="L3" s="147"/>
      <c r="M3" s="147"/>
      <c r="N3" s="147"/>
      <c r="O3" s="147"/>
      <c r="P3" s="21"/>
      <c r="Q3" s="23" t="str">
        <f>IF(Karakterlap!$Y$3&gt;2,"Mf","Af")</f>
        <v>Af</v>
      </c>
      <c r="R3" s="146" t="s">
        <v>665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4</v>
      </c>
      <c r="AJ3" s="174"/>
    </row>
    <row r="4" spans="1:36" x14ac:dyDescent="0.2">
      <c r="A4" s="146" t="s">
        <v>677</v>
      </c>
      <c r="B4" s="147"/>
      <c r="C4" s="147"/>
      <c r="D4" s="147"/>
      <c r="E4" s="147"/>
      <c r="F4" s="147"/>
      <c r="G4" s="21"/>
      <c r="H4" s="147" t="str">
        <f>IF(Karakterlap!$Y$3&gt;7,"Mf","Af")</f>
        <v>Af</v>
      </c>
      <c r="I4" s="174"/>
      <c r="J4" s="146" t="str">
        <f>IF(Karakterlap!$Y$3&gt;3,"pszi","")</f>
        <v/>
      </c>
      <c r="K4" s="147"/>
      <c r="L4" s="147"/>
      <c r="M4" s="147"/>
      <c r="N4" s="147"/>
      <c r="O4" s="147"/>
      <c r="P4" s="21"/>
      <c r="Q4" s="23" t="str">
        <f>IF(Karakterlap!$Y$3&gt;11,"Mf",IF(Karakterlap!$Y$3&gt;3,"Af",""))</f>
        <v/>
      </c>
      <c r="R4" s="146"/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>
        <v>2</v>
      </c>
      <c r="AJ4" s="174"/>
    </row>
    <row r="5" spans="1:36" x14ac:dyDescent="0.2">
      <c r="A5" s="146" t="s">
        <v>658</v>
      </c>
      <c r="B5" s="147"/>
      <c r="C5" s="147"/>
      <c r="D5" s="147"/>
      <c r="E5" s="147"/>
      <c r="F5" s="147"/>
      <c r="G5" s="21"/>
      <c r="H5" s="147" t="s">
        <v>642</v>
      </c>
      <c r="I5" s="174"/>
      <c r="J5" s="146" t="str">
        <f>IF(Karakterlap!$Y$3&gt;3,"sebgyógyítás","")</f>
        <v/>
      </c>
      <c r="K5" s="147"/>
      <c r="L5" s="147"/>
      <c r="M5" s="147"/>
      <c r="N5" s="147"/>
      <c r="O5" s="147"/>
      <c r="P5" s="21"/>
      <c r="Q5" s="23" t="str">
        <f>IF(Karakterlap!$Y$3&gt;3,"Af","")</f>
        <v/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>
        <v>2</v>
      </c>
      <c r="AJ5" s="174"/>
    </row>
    <row r="6" spans="1:36" x14ac:dyDescent="0.2">
      <c r="A6" s="146" t="s">
        <v>687</v>
      </c>
      <c r="B6" s="147"/>
      <c r="C6" s="147"/>
      <c r="D6" s="147"/>
      <c r="E6" s="147"/>
      <c r="F6" s="147"/>
      <c r="G6" s="21"/>
      <c r="H6" s="147" t="str">
        <f>IF(Karakterlap!$Y$3&gt;8,"Mf","Af")</f>
        <v>Af</v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>
        <v>2</v>
      </c>
      <c r="AJ6" s="174"/>
    </row>
    <row r="7" spans="1:36" x14ac:dyDescent="0.2">
      <c r="A7" s="146" t="str">
        <f>IF(Karakterlap!$Y$3&gt;4,"fegyver használata","")</f>
        <v/>
      </c>
      <c r="B7" s="147"/>
      <c r="C7" s="147"/>
      <c r="D7" s="147"/>
      <c r="E7" s="147"/>
      <c r="F7" s="147"/>
      <c r="G7" s="21"/>
      <c r="H7" s="147" t="str">
        <f>IF(Karakterlap!$Y$3&gt;4,"Mf","")</f>
        <v/>
      </c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6" enableFormatConditionsCalculation="0"/>
  <dimension ref="A1:AJ17"/>
  <sheetViews>
    <sheetView workbookViewId="0">
      <selection activeCell="A12" sqref="A12:I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/>
      <c r="K2" s="147"/>
      <c r="L2" s="147"/>
      <c r="M2" s="147"/>
      <c r="N2" s="147"/>
      <c r="O2" s="147"/>
      <c r="P2" s="21"/>
      <c r="Q2" s="23"/>
      <c r="R2" s="146" t="s">
        <v>764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710</v>
      </c>
      <c r="B3" s="147"/>
      <c r="C3" s="147"/>
      <c r="D3" s="147"/>
      <c r="E3" s="147"/>
      <c r="F3" s="147"/>
      <c r="G3" s="21"/>
      <c r="H3" s="147" t="str">
        <f>IF(Karakterlap!$Y$3&gt;4,"Mf","Af")</f>
        <v>Af</v>
      </c>
      <c r="I3" s="174"/>
      <c r="J3" s="146"/>
      <c r="K3" s="147"/>
      <c r="L3" s="147"/>
      <c r="M3" s="147"/>
      <c r="N3" s="147"/>
      <c r="O3" s="147"/>
      <c r="P3" s="21"/>
      <c r="Q3" s="23"/>
      <c r="R3" s="146" t="s">
        <v>766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3</v>
      </c>
      <c r="AJ3" s="174"/>
    </row>
    <row r="4" spans="1:36" x14ac:dyDescent="0.2">
      <c r="A4" s="146" t="s">
        <v>672</v>
      </c>
      <c r="B4" s="147"/>
      <c r="C4" s="147"/>
      <c r="D4" s="147"/>
      <c r="E4" s="147"/>
      <c r="F4" s="147"/>
      <c r="G4" s="21"/>
      <c r="H4" s="147" t="s">
        <v>652</v>
      </c>
      <c r="I4" s="174"/>
      <c r="J4" s="146"/>
      <c r="K4" s="147"/>
      <c r="L4" s="147"/>
      <c r="M4" s="147"/>
      <c r="N4" s="147"/>
      <c r="O4" s="147"/>
      <c r="P4" s="21"/>
      <c r="Q4" s="23"/>
      <c r="R4" s="146" t="str">
        <f>IF(Karakterlap!$Y$3&gt;2,"csomózás","")</f>
        <v/>
      </c>
      <c r="S4" s="147"/>
      <c r="T4" s="147"/>
      <c r="U4" s="147"/>
      <c r="V4" s="147"/>
      <c r="W4" s="147"/>
      <c r="X4" s="21"/>
      <c r="Y4" s="147" t="str">
        <f>IF(Karakterlap!$Y$3&gt;2,"Af","")</f>
        <v/>
      </c>
      <c r="Z4" s="174"/>
      <c r="AA4" s="168"/>
      <c r="AB4" s="147"/>
      <c r="AC4" s="147"/>
      <c r="AD4" s="147"/>
      <c r="AE4" s="147"/>
      <c r="AF4" s="147"/>
      <c r="AG4" s="147"/>
      <c r="AH4" s="21"/>
      <c r="AI4" s="147">
        <v>2</v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>
        <v>2</v>
      </c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 t="s">
        <v>765</v>
      </c>
      <c r="K12" s="147"/>
      <c r="L12" s="147"/>
      <c r="M12" s="147"/>
      <c r="N12" s="147"/>
      <c r="O12" s="147"/>
      <c r="P12" s="21"/>
      <c r="Q12" s="23" t="str">
        <f>IF(Karakterlap!$Y$3&gt;3,"Mf","Af")</f>
        <v>Af</v>
      </c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 t="str">
        <f>IF(Karakterlap!$Y$3&gt;1,"kötelékből szabadulás","")</f>
        <v/>
      </c>
      <c r="K13" s="147"/>
      <c r="L13" s="147"/>
      <c r="M13" s="147"/>
      <c r="N13" s="147"/>
      <c r="O13" s="147"/>
      <c r="P13" s="21"/>
      <c r="Q13" s="23" t="str">
        <f>IF(Karakterlap!$Y$3&gt;1,"Af","")</f>
        <v/>
      </c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 t="str">
        <f>IF(Karakterlap!$Y$3&gt;2,"hátbaszúrás","")</f>
        <v/>
      </c>
      <c r="K14" s="147"/>
      <c r="L14" s="147"/>
      <c r="M14" s="147"/>
      <c r="N14" s="147"/>
      <c r="O14" s="147"/>
      <c r="P14" s="21"/>
      <c r="Q14" s="23" t="str">
        <f>IF(Karakterlap!$Y$3&gt;2,"Af","")</f>
        <v/>
      </c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/>
      <c r="K15" s="147"/>
      <c r="L15" s="147"/>
      <c r="M15" s="147"/>
      <c r="N15" s="147"/>
      <c r="O15" s="147"/>
      <c r="P15" s="21"/>
      <c r="Q15" s="23"/>
      <c r="R15" s="146"/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/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7" enableFormatConditionsCalculation="0"/>
  <dimension ref="A1:AJ17"/>
  <sheetViews>
    <sheetView workbookViewId="0">
      <selection activeCell="A12" sqref="A12:I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767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tr">
        <f>IF(Karakterlap!$Y$3&gt;4,"Mf","Af")</f>
        <v>Af</v>
      </c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710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665</v>
      </c>
      <c r="S3" s="147"/>
      <c r="T3" s="147"/>
      <c r="U3" s="147"/>
      <c r="V3" s="147"/>
      <c r="W3" s="147"/>
      <c r="X3" s="21"/>
      <c r="Y3" s="147" t="str">
        <f>IF(Karakterlap!$Y$3&gt;3,"Mf","Af")</f>
        <v>Af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5</v>
      </c>
      <c r="AJ3" s="174"/>
    </row>
    <row r="4" spans="1:36" x14ac:dyDescent="0.2">
      <c r="A4" s="146" t="str">
        <f>IF(Karakterlap!$Y$3&gt;3,"ökölharc","")</f>
        <v/>
      </c>
      <c r="B4" s="147"/>
      <c r="C4" s="147"/>
      <c r="D4" s="147"/>
      <c r="E4" s="147"/>
      <c r="F4" s="147"/>
      <c r="G4" s="21"/>
      <c r="H4" s="147" t="str">
        <f>IF(Karakterlap!$Y$3&gt;3,"Af","")</f>
        <v/>
      </c>
      <c r="I4" s="174"/>
      <c r="J4" s="146" t="s">
        <v>662</v>
      </c>
      <c r="K4" s="147"/>
      <c r="L4" s="147"/>
      <c r="M4" s="147"/>
      <c r="N4" s="147"/>
      <c r="O4" s="147"/>
      <c r="P4" s="21"/>
      <c r="Q4" s="23" t="s">
        <v>652</v>
      </c>
      <c r="R4" s="146" t="s">
        <v>654</v>
      </c>
      <c r="S4" s="147"/>
      <c r="T4" s="147"/>
      <c r="U4" s="147"/>
      <c r="V4" s="147"/>
      <c r="W4" s="147"/>
      <c r="X4" s="21"/>
      <c r="Y4" s="147" t="str">
        <f>IF(Karakterlap!$Y$3&gt;6,"Mf","Af")</f>
        <v>Af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>
        <v>4</v>
      </c>
      <c r="AJ4" s="174"/>
    </row>
    <row r="5" spans="1:36" x14ac:dyDescent="0.2">
      <c r="A5" s="146" t="str">
        <f>IF(Karakterlap!$Y$3&gt;3,"fegyverdobás","")</f>
        <v/>
      </c>
      <c r="B5" s="147"/>
      <c r="C5" s="147"/>
      <c r="D5" s="147"/>
      <c r="E5" s="147"/>
      <c r="F5" s="147"/>
      <c r="G5" s="21"/>
      <c r="H5" s="147" t="str">
        <f>IF(Karakterlap!$Y$3&gt;3,"Mf","")</f>
        <v/>
      </c>
      <c r="I5" s="174"/>
      <c r="J5" s="146"/>
      <c r="K5" s="147"/>
      <c r="L5" s="147"/>
      <c r="M5" s="147"/>
      <c r="N5" s="147"/>
      <c r="O5" s="147"/>
      <c r="P5" s="21"/>
      <c r="Q5" s="23"/>
      <c r="R5" s="146" t="s">
        <v>666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>
        <v>3</v>
      </c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 t="s">
        <v>650</v>
      </c>
      <c r="S6" s="147"/>
      <c r="T6" s="147"/>
      <c r="U6" s="147"/>
      <c r="V6" s="147"/>
      <c r="W6" s="147"/>
      <c r="X6" s="21"/>
      <c r="Y6" s="147" t="str">
        <f>IF(Karakterlap!$Y$3&gt;7,"Mf","Af")</f>
        <v>Af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>
        <v>2</v>
      </c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 t="s">
        <v>766</v>
      </c>
      <c r="S7" s="147"/>
      <c r="T7" s="147"/>
      <c r="U7" s="147"/>
      <c r="V7" s="147"/>
      <c r="W7" s="147"/>
      <c r="X7" s="21"/>
      <c r="Y7" s="147" t="s">
        <v>642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>
        <v>2</v>
      </c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 t="str">
        <f>IF(Karakterlap!$Y$3&gt;1,"értékbecslés","")</f>
        <v/>
      </c>
      <c r="S8" s="147"/>
      <c r="T8" s="147"/>
      <c r="U8" s="147"/>
      <c r="V8" s="147"/>
      <c r="W8" s="147"/>
      <c r="X8" s="21"/>
      <c r="Y8" s="147" t="str">
        <f>IF(Karakterlap!$Y$3&gt;1,"Af","")</f>
        <v/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 t="str">
        <f>IF(Karakterlap!$Y$3&gt;1,"zsonglőrködés","")</f>
        <v/>
      </c>
      <c r="S9" s="147"/>
      <c r="T9" s="147"/>
      <c r="U9" s="147"/>
      <c r="V9" s="147"/>
      <c r="W9" s="147"/>
      <c r="X9" s="21"/>
      <c r="Y9" s="147" t="str">
        <f>IF(Karakterlap!$Y$3&gt;1,"Af","")</f>
        <v/>
      </c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 t="str">
        <f>IF(Karakterlap!$Y$3&gt;2,"csomózás","")</f>
        <v/>
      </c>
      <c r="S10" s="147"/>
      <c r="T10" s="147"/>
      <c r="U10" s="147"/>
      <c r="V10" s="147"/>
      <c r="W10" s="147"/>
      <c r="X10" s="21"/>
      <c r="Y10" s="147" t="str">
        <f>IF(Karakterlap!$Y$3&gt;2,"Af","")</f>
        <v/>
      </c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 t="str">
        <f>IF(Karakterlap!$Y$3&gt;2,"tánc","")</f>
        <v/>
      </c>
      <c r="S11" s="147"/>
      <c r="T11" s="147"/>
      <c r="U11" s="147"/>
      <c r="V11" s="147"/>
      <c r="W11" s="147"/>
      <c r="X11" s="21"/>
      <c r="Y11" s="147" t="str">
        <f>IF(Karakterlap!$Y$3&gt;2,"Af","")</f>
        <v/>
      </c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 t="s">
        <v>768</v>
      </c>
      <c r="K12" s="147"/>
      <c r="L12" s="147"/>
      <c r="M12" s="147"/>
      <c r="N12" s="147"/>
      <c r="O12" s="147"/>
      <c r="P12" s="21"/>
      <c r="Q12" s="23" t="str">
        <f>IF(Karakterlap!$Y$3&gt;4,"Mf","Af")</f>
        <v>Af</v>
      </c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 t="str">
        <f>IF(Karakterlap!$Y$3&gt;1,"kocsmai verekedés","")</f>
        <v/>
      </c>
      <c r="K13" s="147"/>
      <c r="L13" s="147"/>
      <c r="M13" s="147"/>
      <c r="N13" s="147"/>
      <c r="O13" s="147"/>
      <c r="P13" s="21"/>
      <c r="Q13" s="23" t="str">
        <f>IF(Karakterlap!$Y$3&gt;3,"Mf",IF(Karakterlap!$Y$3&gt;1,"Af",""))</f>
        <v/>
      </c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 t="str">
        <f>IF(Karakterlap!$Y$3&gt;3,"kötelékből szabadulás","")</f>
        <v/>
      </c>
      <c r="K14" s="147"/>
      <c r="L14" s="147"/>
      <c r="M14" s="147"/>
      <c r="N14" s="147"/>
      <c r="O14" s="147"/>
      <c r="P14" s="21"/>
      <c r="Q14" s="23" t="str">
        <f>IF(Karakterlap!$Y$3&gt;3,"Af","")</f>
        <v/>
      </c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 t="str">
        <f>IF(Karakterlap!$Y$3&gt;5,"hátbaszúrás","")</f>
        <v/>
      </c>
      <c r="K15" s="147"/>
      <c r="L15" s="147"/>
      <c r="M15" s="147"/>
      <c r="N15" s="147"/>
      <c r="O15" s="147"/>
      <c r="P15" s="21"/>
      <c r="Q15" s="23" t="str">
        <f>IF(Karakterlap!$Y$3&gt;5,"Af","")</f>
        <v/>
      </c>
      <c r="R15" s="146"/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/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8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 enableFormatConditionsCalculation="0"/>
  <dimension ref="A1:AJ17"/>
  <sheetViews>
    <sheetView workbookViewId="0">
      <selection activeCell="S19" sqref="S19"/>
    </sheetView>
  </sheetViews>
  <sheetFormatPr baseColWidth="10" defaultColWidth="8.83203125" defaultRowHeight="15" x14ac:dyDescent="0.2"/>
  <cols>
    <col min="1" max="45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789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/>
      <c r="K2" s="147"/>
      <c r="L2" s="147"/>
      <c r="M2" s="147"/>
      <c r="N2" s="147"/>
      <c r="O2" s="147"/>
      <c r="P2" s="21"/>
      <c r="Q2" s="23"/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672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/>
      <c r="K3" s="147"/>
      <c r="L3" s="147"/>
      <c r="M3" s="147"/>
      <c r="N3" s="147"/>
      <c r="O3" s="147"/>
      <c r="P3" s="21"/>
      <c r="Q3" s="23"/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tr">
        <f>IF(Karakterlap!$Y$3&gt;5,"hadvezetés","")</f>
        <v/>
      </c>
      <c r="B4" s="147"/>
      <c r="C4" s="147"/>
      <c r="D4" s="147"/>
      <c r="E4" s="147"/>
      <c r="F4" s="147"/>
      <c r="G4" s="21"/>
      <c r="H4" s="147" t="str">
        <f>IF(Karakterlap!$Y$3&gt;5,"Af","")</f>
        <v/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645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:F1"/>
    <mergeCell ref="H1:I1"/>
    <mergeCell ref="J1:O1"/>
    <mergeCell ref="R1:W1"/>
    <mergeCell ref="Y1:Z1"/>
    <mergeCell ref="A2:F2"/>
    <mergeCell ref="H2:I2"/>
    <mergeCell ref="J2:O2"/>
    <mergeCell ref="R2:W2"/>
    <mergeCell ref="Y2:Z2"/>
    <mergeCell ref="A3:F3"/>
    <mergeCell ref="H3:I3"/>
    <mergeCell ref="J3:O3"/>
    <mergeCell ref="R3:W3"/>
    <mergeCell ref="Y3:Z3"/>
    <mergeCell ref="A4:F4"/>
    <mergeCell ref="H4:I4"/>
    <mergeCell ref="J4:O4"/>
    <mergeCell ref="R4:W4"/>
    <mergeCell ref="Y4:Z4"/>
    <mergeCell ref="A5:F5"/>
    <mergeCell ref="H5:I5"/>
    <mergeCell ref="J5:O5"/>
    <mergeCell ref="R5:W5"/>
    <mergeCell ref="Y5:Z5"/>
    <mergeCell ref="A6:F6"/>
    <mergeCell ref="H6:I6"/>
    <mergeCell ref="J6:O6"/>
    <mergeCell ref="R6:W6"/>
    <mergeCell ref="Y6:Z6"/>
    <mergeCell ref="A7:F7"/>
    <mergeCell ref="H7:I7"/>
    <mergeCell ref="J7:O7"/>
    <mergeCell ref="R7:W7"/>
    <mergeCell ref="Y7:Z7"/>
    <mergeCell ref="A8:F8"/>
    <mergeCell ref="H8:I8"/>
    <mergeCell ref="J8:O8"/>
    <mergeCell ref="R8:W8"/>
    <mergeCell ref="Y8:Z8"/>
    <mergeCell ref="A9:F9"/>
    <mergeCell ref="H9:I9"/>
    <mergeCell ref="J9:O9"/>
    <mergeCell ref="R9:W9"/>
    <mergeCell ref="Y9:Z9"/>
    <mergeCell ref="A10:F10"/>
    <mergeCell ref="H10:I10"/>
    <mergeCell ref="J10:O10"/>
    <mergeCell ref="R10:W10"/>
    <mergeCell ref="Y10:Z10"/>
    <mergeCell ref="A11:F11"/>
    <mergeCell ref="H11:I11"/>
    <mergeCell ref="J11:O11"/>
    <mergeCell ref="R11:W11"/>
    <mergeCell ref="Y11:Z11"/>
    <mergeCell ref="A12:F12"/>
    <mergeCell ref="H12:I12"/>
    <mergeCell ref="J12:O12"/>
    <mergeCell ref="R12:W12"/>
    <mergeCell ref="Y12:Z12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:AJ1"/>
    <mergeCell ref="AA2:AG2"/>
    <mergeCell ref="AI2:AJ2"/>
    <mergeCell ref="AA3:AG3"/>
    <mergeCell ref="AI3:AJ3"/>
    <mergeCell ref="AA4:AG4"/>
    <mergeCell ref="AI4:AJ4"/>
    <mergeCell ref="A17:F17"/>
    <mergeCell ref="H17:I17"/>
    <mergeCell ref="J17:O17"/>
    <mergeCell ref="R17:W17"/>
    <mergeCell ref="Y17:Z17"/>
    <mergeCell ref="AA1:AG1"/>
    <mergeCell ref="AA5:AG5"/>
    <mergeCell ref="AA9:AG9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AI9:AJ9"/>
    <mergeCell ref="AA10:AG10"/>
    <mergeCell ref="AI10:AJ10"/>
    <mergeCell ref="AA11:AG11"/>
    <mergeCell ref="AI11:AJ11"/>
    <mergeCell ref="AA12:AG12"/>
    <mergeCell ref="AI12:AJ12"/>
    <mergeCell ref="AI5:AJ5"/>
    <mergeCell ref="AA6:AG6"/>
    <mergeCell ref="AI6:AJ6"/>
    <mergeCell ref="AA7:AG7"/>
    <mergeCell ref="AI7:AJ7"/>
    <mergeCell ref="AA8:AG8"/>
    <mergeCell ref="AI8:AJ8"/>
  </mergeCells>
  <pageMargins left="0.7" right="0.7" top="0.75" bottom="0.75" header="0.3" footer="0.3"/>
  <legacy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9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776</v>
      </c>
      <c r="K7" s="147"/>
      <c r="L7" s="147"/>
      <c r="M7" s="147"/>
      <c r="N7" s="147"/>
      <c r="O7" s="147"/>
      <c r="P7" s="21"/>
      <c r="Q7" s="23" t="str">
        <f>IF(Karakterlap!$Y$3&gt;5,"Mf","Af")</f>
        <v>Af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777</v>
      </c>
      <c r="K8" s="147"/>
      <c r="L8" s="147"/>
      <c r="M8" s="147"/>
      <c r="N8" s="147"/>
      <c r="O8" s="147"/>
      <c r="P8" s="21"/>
      <c r="Q8" s="23" t="str">
        <f>IF(Karakterlap!$Y$3&gt;1,"Mf","Af")</f>
        <v>Af</v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662</v>
      </c>
      <c r="K9" s="147"/>
      <c r="L9" s="147"/>
      <c r="M9" s="147"/>
      <c r="N9" s="147"/>
      <c r="O9" s="147"/>
      <c r="P9" s="21"/>
      <c r="Q9" s="23" t="s">
        <v>652</v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">
        <v>705</v>
      </c>
      <c r="K10" s="147"/>
      <c r="L10" s="147"/>
      <c r="M10" s="147"/>
      <c r="N10" s="147"/>
      <c r="O10" s="147"/>
      <c r="P10" s="21"/>
      <c r="Q10" s="23" t="s">
        <v>652</v>
      </c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 t="str">
        <f>IF(Karakterlap!$Y$3&gt;1,"élettan","")</f>
        <v/>
      </c>
      <c r="K11" s="147"/>
      <c r="L11" s="147"/>
      <c r="M11" s="147"/>
      <c r="N11" s="147"/>
      <c r="O11" s="147"/>
      <c r="P11" s="21"/>
      <c r="Q11" s="23" t="str">
        <f>IF(Karakterlap!$Y$3&gt;1,"Af","")</f>
        <v/>
      </c>
      <c r="R11" s="341"/>
      <c r="S11" s="342"/>
      <c r="T11" s="342"/>
      <c r="U11" s="342"/>
      <c r="V11" s="342"/>
      <c r="W11" s="168"/>
      <c r="X11" s="21"/>
      <c r="Y11" s="339"/>
      <c r="Z11" s="340"/>
      <c r="AA11" s="168"/>
      <c r="AB11" s="147"/>
      <c r="AC11" s="147"/>
      <c r="AD11" s="147"/>
      <c r="AE11" s="147"/>
      <c r="AF11" s="147"/>
      <c r="AG11" s="147"/>
      <c r="AH11" s="21"/>
      <c r="AI11" s="147" t="str">
        <f>IF(Karakterlap!$Y$3&gt;6,"Mf","Af")</f>
        <v>Af</v>
      </c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 t="str">
        <f>IF(Karakterlap!$Y$3&gt;3,"herbalizmus","")</f>
        <v/>
      </c>
      <c r="K12" s="147"/>
      <c r="L12" s="147"/>
      <c r="M12" s="147"/>
      <c r="N12" s="147"/>
      <c r="O12" s="147"/>
      <c r="P12" s="21"/>
      <c r="Q12" s="23" t="str">
        <f>IF(Karakterlap!$Y$3&gt;3,"Af","")</f>
        <v/>
      </c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0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tr">
        <f>IF(Karakterlap!$Y$3&gt;3,"lefegyverzés","")</f>
        <v/>
      </c>
      <c r="B3" s="147"/>
      <c r="C3" s="147"/>
      <c r="D3" s="147"/>
      <c r="E3" s="147"/>
      <c r="F3" s="147"/>
      <c r="G3" s="21"/>
      <c r="H3" s="147" t="str">
        <f>IF(Karakterlap!$Y$3&gt;3,"Af","")</f>
        <v/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3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>
        <v>2</v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652</v>
      </c>
      <c r="R5" s="146" t="s">
        <v>654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">
        <v>666</v>
      </c>
      <c r="S6" s="147"/>
      <c r="T6" s="147"/>
      <c r="U6" s="147"/>
      <c r="V6" s="147"/>
      <c r="W6" s="147"/>
      <c r="X6" s="21"/>
      <c r="Y6" s="147" t="str">
        <f>IF(Karakterlap!$Y$3&gt;2,"Mf","Af")</f>
        <v>Af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662</v>
      </c>
      <c r="K7" s="147"/>
      <c r="L7" s="147"/>
      <c r="M7" s="147"/>
      <c r="N7" s="147"/>
      <c r="O7" s="147"/>
      <c r="P7" s="21"/>
      <c r="Q7" s="23" t="s">
        <v>642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647</v>
      </c>
      <c r="K8" s="147"/>
      <c r="L8" s="147"/>
      <c r="M8" s="147"/>
      <c r="N8" s="147"/>
      <c r="O8" s="147"/>
      <c r="P8" s="21"/>
      <c r="Q8" s="23" t="str">
        <f>IF(Karakterlap!$Y$3&gt;4,"Mf","Af")</f>
        <v>Af</v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779</v>
      </c>
      <c r="K9" s="147"/>
      <c r="L9" s="147"/>
      <c r="M9" s="147"/>
      <c r="N9" s="147"/>
      <c r="O9" s="147"/>
      <c r="P9" s="21"/>
      <c r="Q9" s="23" t="s">
        <v>652</v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">
        <v>780</v>
      </c>
      <c r="K10" s="147"/>
      <c r="L10" s="147"/>
      <c r="M10" s="147"/>
      <c r="N10" s="147"/>
      <c r="O10" s="147"/>
      <c r="P10" s="21"/>
      <c r="Q10" s="23" t="s">
        <v>652</v>
      </c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1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tr">
        <f>IF(Karakterlap!$Y$3&gt;3,"fegyverdobás","")</f>
        <v/>
      </c>
      <c r="B3" s="147"/>
      <c r="C3" s="147"/>
      <c r="D3" s="147"/>
      <c r="E3" s="147"/>
      <c r="F3" s="147"/>
      <c r="G3" s="21"/>
      <c r="H3" s="147" t="str">
        <f>IF(Karakterlap!$Y$3&gt;3,"Af","")</f>
        <v/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653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">
        <v>644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646</v>
      </c>
      <c r="K7" s="147"/>
      <c r="L7" s="147"/>
      <c r="M7" s="147"/>
      <c r="N7" s="147"/>
      <c r="O7" s="147"/>
      <c r="P7" s="21"/>
      <c r="Q7" s="23" t="s">
        <v>652</v>
      </c>
      <c r="R7" s="146" t="s">
        <v>726</v>
      </c>
      <c r="S7" s="147"/>
      <c r="T7" s="147"/>
      <c r="U7" s="147"/>
      <c r="V7" s="147"/>
      <c r="W7" s="147"/>
      <c r="X7" s="21"/>
      <c r="Y7" s="147" t="s">
        <v>652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711</v>
      </c>
      <c r="K8" s="147"/>
      <c r="L8" s="147"/>
      <c r="M8" s="147"/>
      <c r="N8" s="147"/>
      <c r="O8" s="147"/>
      <c r="P8" s="21"/>
      <c r="Q8" s="23" t="str">
        <f>IF(Karakterlap!$Y$3&gt;4,"Mf","Af")</f>
        <v>Af</v>
      </c>
      <c r="R8" s="146" t="s">
        <v>709</v>
      </c>
      <c r="S8" s="147"/>
      <c r="T8" s="147"/>
      <c r="U8" s="147"/>
      <c r="V8" s="147"/>
      <c r="W8" s="147"/>
      <c r="X8" s="21"/>
      <c r="Y8" s="147" t="str">
        <f>IF(Karakterlap!$Y$3&gt;2,"Mf","Af")</f>
        <v>Af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 t="s">
        <v>725</v>
      </c>
      <c r="S9" s="147"/>
      <c r="T9" s="147"/>
      <c r="U9" s="147"/>
      <c r="V9" s="147"/>
      <c r="W9" s="147"/>
      <c r="X9" s="21"/>
      <c r="Y9" s="147" t="str">
        <f>IF(Karakterlap!$Y$3&gt;5,"Mf","Af")</f>
        <v>Af</v>
      </c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IF(Karakterlap!$Y$3&gt;6,"kötelékből szabadulás","")</f>
        <v/>
      </c>
      <c r="B12" s="147"/>
      <c r="C12" s="147"/>
      <c r="D12" s="147"/>
      <c r="E12" s="147"/>
      <c r="F12" s="147"/>
      <c r="G12" s="21"/>
      <c r="H12" s="147" t="str">
        <f>IF(Karakterlap!$Y$3&gt;6,"Af","")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2" enableFormatConditionsCalculation="0"/>
  <dimension ref="A1:AJ17"/>
  <sheetViews>
    <sheetView workbookViewId="0">
      <selection activeCell="U20" sqref="U20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783</v>
      </c>
      <c r="B3" s="147"/>
      <c r="C3" s="147"/>
      <c r="D3" s="147"/>
      <c r="E3" s="147"/>
      <c r="F3" s="147"/>
      <c r="G3" s="21"/>
      <c r="H3" s="147" t="s">
        <v>652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658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642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tr">
        <f>IF(Karakterlap!$Y$3&gt;8,"fegyverhasználat","")</f>
        <v/>
      </c>
      <c r="B5" s="147"/>
      <c r="C5" s="147"/>
      <c r="D5" s="147"/>
      <c r="E5" s="147"/>
      <c r="F5" s="147"/>
      <c r="G5" s="21"/>
      <c r="H5" s="147" t="str">
        <f>IF(Karakterlap!$Y$3&gt;8,"Mf","")</f>
        <v/>
      </c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784</v>
      </c>
      <c r="S5" s="147"/>
      <c r="T5" s="147"/>
      <c r="U5" s="147"/>
      <c r="V5" s="147"/>
      <c r="W5" s="147"/>
      <c r="X5" s="21"/>
      <c r="Y5" s="147" t="s">
        <v>652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">
        <v>651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662</v>
      </c>
      <c r="K7" s="147"/>
      <c r="L7" s="147"/>
      <c r="M7" s="147"/>
      <c r="N7" s="147"/>
      <c r="O7" s="147"/>
      <c r="P7" s="21"/>
      <c r="Q7" s="23" t="s">
        <v>642</v>
      </c>
      <c r="R7" s="146" t="s">
        <v>785</v>
      </c>
      <c r="S7" s="147"/>
      <c r="T7" s="147"/>
      <c r="U7" s="147"/>
      <c r="V7" s="147"/>
      <c r="W7" s="147"/>
      <c r="X7" s="21"/>
      <c r="Y7" s="147" t="s">
        <v>652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705</v>
      </c>
      <c r="K8" s="147"/>
      <c r="L8" s="147"/>
      <c r="M8" s="147"/>
      <c r="N8" s="147"/>
      <c r="O8" s="147"/>
      <c r="P8" s="21"/>
      <c r="Q8" s="23" t="s">
        <v>642</v>
      </c>
      <c r="R8" s="146" t="s">
        <v>643</v>
      </c>
      <c r="S8" s="147"/>
      <c r="T8" s="147"/>
      <c r="U8" s="147"/>
      <c r="V8" s="147"/>
      <c r="W8" s="147"/>
      <c r="X8" s="21"/>
      <c r="Y8" s="147" t="s">
        <v>642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647</v>
      </c>
      <c r="K9" s="147"/>
      <c r="L9" s="147"/>
      <c r="M9" s="147"/>
      <c r="N9" s="147"/>
      <c r="O9" s="147"/>
      <c r="P9" s="21"/>
      <c r="Q9" s="23" t="s">
        <v>642</v>
      </c>
      <c r="R9" s="146" t="str">
        <f>IF(Karakterlap!$Y$3&gt;2,"szexuális kultúra","")</f>
        <v/>
      </c>
      <c r="S9" s="147"/>
      <c r="T9" s="147"/>
      <c r="U9" s="147"/>
      <c r="V9" s="147"/>
      <c r="W9" s="147"/>
      <c r="X9" s="21"/>
      <c r="Y9" s="147" t="str">
        <f>IF(Karakterlap!$Y$3&gt;2,"Af","")</f>
        <v/>
      </c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">
        <v>646</v>
      </c>
      <c r="K10" s="147"/>
      <c r="L10" s="147"/>
      <c r="M10" s="147"/>
      <c r="N10" s="147"/>
      <c r="O10" s="147"/>
      <c r="P10" s="21"/>
      <c r="Q10" s="23" t="s">
        <v>642</v>
      </c>
      <c r="R10" s="146" t="str">
        <f>IF(Karakterlap!$Y$3&gt;3,"csapdaállítás","")</f>
        <v/>
      </c>
      <c r="S10" s="147"/>
      <c r="T10" s="147"/>
      <c r="U10" s="147"/>
      <c r="V10" s="147"/>
      <c r="W10" s="147"/>
      <c r="X10" s="21"/>
      <c r="Y10" s="147" t="str">
        <f>IF(Karakterlap!$Y$3&gt;3,"Af","")</f>
        <v/>
      </c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 t="str">
        <f>IF(Karakterlap!$Y$3&gt;4,"nyomolvasás/eltüntetés","")</f>
        <v/>
      </c>
      <c r="S11" s="147"/>
      <c r="T11" s="147"/>
      <c r="U11" s="147"/>
      <c r="V11" s="147"/>
      <c r="W11" s="147"/>
      <c r="X11" s="21"/>
      <c r="Y11" s="147" t="str">
        <f>IF(Karakterlap!$Y$3&gt;4,"Af","")</f>
        <v/>
      </c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IF(Karakterlap!$Y$3&gt;1,"kocsmai verekedés","")</f>
        <v/>
      </c>
      <c r="B12" s="147"/>
      <c r="C12" s="147"/>
      <c r="D12" s="147"/>
      <c r="E12" s="147"/>
      <c r="F12" s="147"/>
      <c r="G12" s="21"/>
      <c r="H12" s="147" t="str">
        <f>IF(Karakterlap!$Y$3&gt;1,"Af","")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3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783</v>
      </c>
      <c r="B3" s="147"/>
      <c r="C3" s="147"/>
      <c r="D3" s="147"/>
      <c r="E3" s="147"/>
      <c r="F3" s="147"/>
      <c r="G3" s="21"/>
      <c r="H3" s="147" t="s">
        <v>652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658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642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tr">
        <f>IF(Karakterlap!$Y$3&gt;8,"fegyverhasználat","")</f>
        <v/>
      </c>
      <c r="B5" s="147"/>
      <c r="C5" s="147"/>
      <c r="D5" s="147"/>
      <c r="E5" s="147"/>
      <c r="F5" s="147"/>
      <c r="G5" s="21"/>
      <c r="H5" s="147" t="str">
        <f>IF(Karakterlap!$Y$3&gt;8,"Mf","")</f>
        <v/>
      </c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784</v>
      </c>
      <c r="S5" s="147"/>
      <c r="T5" s="147"/>
      <c r="U5" s="147"/>
      <c r="V5" s="147"/>
      <c r="W5" s="147"/>
      <c r="X5" s="21"/>
      <c r="Y5" s="147" t="s">
        <v>652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">
        <v>651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662</v>
      </c>
      <c r="K7" s="147"/>
      <c r="L7" s="147"/>
      <c r="M7" s="147"/>
      <c r="N7" s="147"/>
      <c r="O7" s="147"/>
      <c r="P7" s="21"/>
      <c r="Q7" s="23" t="s">
        <v>642</v>
      </c>
      <c r="R7" s="146" t="s">
        <v>785</v>
      </c>
      <c r="S7" s="147"/>
      <c r="T7" s="147"/>
      <c r="U7" s="147"/>
      <c r="V7" s="147"/>
      <c r="W7" s="147"/>
      <c r="X7" s="21"/>
      <c r="Y7" s="147" t="s">
        <v>652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705</v>
      </c>
      <c r="K8" s="147"/>
      <c r="L8" s="147"/>
      <c r="M8" s="147"/>
      <c r="N8" s="147"/>
      <c r="O8" s="147"/>
      <c r="P8" s="21"/>
      <c r="Q8" s="23" t="s">
        <v>642</v>
      </c>
      <c r="R8" s="146" t="s">
        <v>643</v>
      </c>
      <c r="S8" s="147"/>
      <c r="T8" s="147"/>
      <c r="U8" s="147"/>
      <c r="V8" s="147"/>
      <c r="W8" s="147"/>
      <c r="X8" s="21"/>
      <c r="Y8" s="147" t="s">
        <v>642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647</v>
      </c>
      <c r="K9" s="147"/>
      <c r="L9" s="147"/>
      <c r="M9" s="147"/>
      <c r="N9" s="147"/>
      <c r="O9" s="147"/>
      <c r="P9" s="21"/>
      <c r="Q9" s="23" t="s">
        <v>642</v>
      </c>
      <c r="R9" s="146" t="str">
        <f>IF(Karakterlap!$Y$3&gt;2,"szexuális kultúra","")</f>
        <v/>
      </c>
      <c r="S9" s="147"/>
      <c r="T9" s="147"/>
      <c r="U9" s="147"/>
      <c r="V9" s="147"/>
      <c r="W9" s="147"/>
      <c r="X9" s="21"/>
      <c r="Y9" s="147" t="str">
        <f>IF(Karakterlap!$Y$3&gt;2,"Af","")</f>
        <v/>
      </c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">
        <v>646</v>
      </c>
      <c r="K10" s="147"/>
      <c r="L10" s="147"/>
      <c r="M10" s="147"/>
      <c r="N10" s="147"/>
      <c r="O10" s="147"/>
      <c r="P10" s="21"/>
      <c r="Q10" s="23" t="s">
        <v>642</v>
      </c>
      <c r="R10" s="146" t="str">
        <f>IF(Karakterlap!$Y$3&gt;3,"csapdaállítás","")</f>
        <v/>
      </c>
      <c r="S10" s="147"/>
      <c r="T10" s="147"/>
      <c r="U10" s="147"/>
      <c r="V10" s="147"/>
      <c r="W10" s="147"/>
      <c r="X10" s="21"/>
      <c r="Y10" s="147" t="str">
        <f>IF(Karakterlap!$Y$3&gt;3,"Af","")</f>
        <v/>
      </c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 t="str">
        <f>IF(Karakterlap!$Y$3&gt;4,"nyomolvasás/eltüntetés","")</f>
        <v/>
      </c>
      <c r="S11" s="147"/>
      <c r="T11" s="147"/>
      <c r="U11" s="147"/>
      <c r="V11" s="147"/>
      <c r="W11" s="147"/>
      <c r="X11" s="21"/>
      <c r="Y11" s="147" t="str">
        <f>IF(Karakterlap!$Y$3&gt;4,"Af","")</f>
        <v/>
      </c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IF(Karakterlap!$Y$3&gt;1,"kocsmai verekedés","")</f>
        <v/>
      </c>
      <c r="B12" s="147"/>
      <c r="C12" s="147"/>
      <c r="D12" s="147"/>
      <c r="E12" s="147"/>
      <c r="F12" s="147"/>
      <c r="G12" s="21"/>
      <c r="H12" s="147" t="str">
        <f>IF(Karakterlap!$Y$3&gt;1,"Af","")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4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783</v>
      </c>
      <c r="B3" s="147"/>
      <c r="C3" s="147"/>
      <c r="D3" s="147"/>
      <c r="E3" s="147"/>
      <c r="F3" s="147"/>
      <c r="G3" s="21"/>
      <c r="H3" s="147" t="s">
        <v>652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658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642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tr">
        <f>IF(Karakterlap!$Y$3&gt;8,"fegyverhasználat","")</f>
        <v/>
      </c>
      <c r="B5" s="147"/>
      <c r="C5" s="147"/>
      <c r="D5" s="147"/>
      <c r="E5" s="147"/>
      <c r="F5" s="147"/>
      <c r="G5" s="21"/>
      <c r="H5" s="147" t="str">
        <f>IF(Karakterlap!$Y$3&gt;8,"Mf","")</f>
        <v/>
      </c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784</v>
      </c>
      <c r="S5" s="147"/>
      <c r="T5" s="147"/>
      <c r="U5" s="147"/>
      <c r="V5" s="147"/>
      <c r="W5" s="147"/>
      <c r="X5" s="21"/>
      <c r="Y5" s="147" t="s">
        <v>652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">
        <v>651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662</v>
      </c>
      <c r="K7" s="147"/>
      <c r="L7" s="147"/>
      <c r="M7" s="147"/>
      <c r="N7" s="147"/>
      <c r="O7" s="147"/>
      <c r="P7" s="21"/>
      <c r="Q7" s="23" t="s">
        <v>642</v>
      </c>
      <c r="R7" s="146" t="s">
        <v>785</v>
      </c>
      <c r="S7" s="147"/>
      <c r="T7" s="147"/>
      <c r="U7" s="147"/>
      <c r="V7" s="147"/>
      <c r="W7" s="147"/>
      <c r="X7" s="21"/>
      <c r="Y7" s="147" t="s">
        <v>652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705</v>
      </c>
      <c r="K8" s="147"/>
      <c r="L8" s="147"/>
      <c r="M8" s="147"/>
      <c r="N8" s="147"/>
      <c r="O8" s="147"/>
      <c r="P8" s="21"/>
      <c r="Q8" s="23" t="s">
        <v>642</v>
      </c>
      <c r="R8" s="146" t="s">
        <v>643</v>
      </c>
      <c r="S8" s="147"/>
      <c r="T8" s="147"/>
      <c r="U8" s="147"/>
      <c r="V8" s="147"/>
      <c r="W8" s="147"/>
      <c r="X8" s="21"/>
      <c r="Y8" s="147" t="s">
        <v>642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647</v>
      </c>
      <c r="K9" s="147"/>
      <c r="L9" s="147"/>
      <c r="M9" s="147"/>
      <c r="N9" s="147"/>
      <c r="O9" s="147"/>
      <c r="P9" s="21"/>
      <c r="Q9" s="23" t="s">
        <v>642</v>
      </c>
      <c r="R9" s="146" t="str">
        <f>IF(Karakterlap!$Y$3&gt;2,"szexuális kultúra","")</f>
        <v/>
      </c>
      <c r="S9" s="147"/>
      <c r="T9" s="147"/>
      <c r="U9" s="147"/>
      <c r="V9" s="147"/>
      <c r="W9" s="147"/>
      <c r="X9" s="21"/>
      <c r="Y9" s="147" t="str">
        <f>IF(Karakterlap!$Y$3&gt;2,"Af","")</f>
        <v/>
      </c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">
        <v>646</v>
      </c>
      <c r="K10" s="147"/>
      <c r="L10" s="147"/>
      <c r="M10" s="147"/>
      <c r="N10" s="147"/>
      <c r="O10" s="147"/>
      <c r="P10" s="21"/>
      <c r="Q10" s="23" t="s">
        <v>642</v>
      </c>
      <c r="R10" s="146" t="str">
        <f>IF(Karakterlap!$Y$3&gt;3,"csapdaállítás","")</f>
        <v/>
      </c>
      <c r="S10" s="147"/>
      <c r="T10" s="147"/>
      <c r="U10" s="147"/>
      <c r="V10" s="147"/>
      <c r="W10" s="147"/>
      <c r="X10" s="21"/>
      <c r="Y10" s="147" t="str">
        <f>IF(Karakterlap!$Y$3&gt;3,"Af","")</f>
        <v/>
      </c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 t="str">
        <f>IF(Karakterlap!$Y$3&gt;4,"nyomolvasás/eltüntetés","")</f>
        <v/>
      </c>
      <c r="S11" s="147"/>
      <c r="T11" s="147"/>
      <c r="U11" s="147"/>
      <c r="V11" s="147"/>
      <c r="W11" s="147"/>
      <c r="X11" s="21"/>
      <c r="Y11" s="147" t="str">
        <f>IF(Karakterlap!$Y$3&gt;4,"Af","")</f>
        <v/>
      </c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IF(Karakterlap!$Y$3&gt;1,"kocsmai verekedés","")</f>
        <v/>
      </c>
      <c r="B12" s="147"/>
      <c r="C12" s="147"/>
      <c r="D12" s="147"/>
      <c r="E12" s="147"/>
      <c r="F12" s="147"/>
      <c r="G12" s="21"/>
      <c r="H12" s="147" t="str">
        <f>IF(Karakterlap!$Y$3&gt;1,"Af","")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5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789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710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793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794</v>
      </c>
      <c r="K7" s="147"/>
      <c r="L7" s="147"/>
      <c r="M7" s="147"/>
      <c r="N7" s="147"/>
      <c r="O7" s="147"/>
      <c r="P7" s="21"/>
      <c r="Q7" s="23" t="str">
        <f>IF(Karakterlap!$Y$3&gt;8,"Mf","Af")</f>
        <v>Af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705</v>
      </c>
      <c r="K8" s="147"/>
      <c r="L8" s="147"/>
      <c r="M8" s="147"/>
      <c r="N8" s="147"/>
      <c r="O8" s="147"/>
      <c r="P8" s="21"/>
      <c r="Q8" s="23" t="s">
        <v>642</v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790</v>
      </c>
      <c r="K9" s="147"/>
      <c r="L9" s="147"/>
      <c r="M9" s="147"/>
      <c r="N9" s="147"/>
      <c r="O9" s="147"/>
      <c r="P9" s="21"/>
      <c r="Q9" s="23" t="s">
        <v>642</v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">
        <v>791</v>
      </c>
      <c r="K10" s="147"/>
      <c r="L10" s="147"/>
      <c r="M10" s="147"/>
      <c r="N10" s="147"/>
      <c r="O10" s="147"/>
      <c r="P10" s="21"/>
      <c r="Q10" s="23" t="str">
        <f>IF(Karakterlap!$Y$3&gt;4,"Mf","Af")</f>
        <v>Af</v>
      </c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IF(Karakterlap!$Y$3&gt;2,"hátbaszúrás","")</f>
        <v/>
      </c>
      <c r="B12" s="147"/>
      <c r="C12" s="147"/>
      <c r="D12" s="147"/>
      <c r="E12" s="147"/>
      <c r="F12" s="147"/>
      <c r="G12" s="21"/>
      <c r="H12" s="147" t="str">
        <f>IF(Karakterlap!$Y$3&gt;2,"Af","")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6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4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665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">
        <v>764</v>
      </c>
      <c r="S6" s="147"/>
      <c r="T6" s="147"/>
      <c r="U6" s="147"/>
      <c r="V6" s="147"/>
      <c r="W6" s="147"/>
      <c r="X6" s="21"/>
      <c r="Y6" s="147" t="str">
        <f>IF(Karakterlap!$Y$3&gt;2,"Mf","Af")</f>
        <v>Af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796</v>
      </c>
      <c r="K7" s="147"/>
      <c r="L7" s="147"/>
      <c r="M7" s="147"/>
      <c r="N7" s="147"/>
      <c r="O7" s="147"/>
      <c r="P7" s="21"/>
      <c r="Q7" s="23" t="s">
        <v>652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796</v>
      </c>
      <c r="K8" s="147"/>
      <c r="L8" s="147"/>
      <c r="M8" s="147"/>
      <c r="N8" s="147"/>
      <c r="O8" s="147"/>
      <c r="P8" s="21"/>
      <c r="Q8" s="23" t="str">
        <f>IF(Karakterlap!$Y$3&gt;4,"Mf","Af")</f>
        <v>Af</v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662</v>
      </c>
      <c r="K9" s="147"/>
      <c r="L9" s="147"/>
      <c r="M9" s="147"/>
      <c r="N9" s="147"/>
      <c r="O9" s="147"/>
      <c r="P9" s="21"/>
      <c r="Q9" s="23" t="str">
        <f>IF(Karakterlap!$Y$3&gt;5,"Mf","Af")</f>
        <v>Af</v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">
        <v>779</v>
      </c>
      <c r="K10" s="147"/>
      <c r="L10" s="147"/>
      <c r="M10" s="147"/>
      <c r="N10" s="147"/>
      <c r="O10" s="147"/>
      <c r="P10" s="21"/>
      <c r="Q10" s="23" t="str">
        <f>IF(Karakterlap!$Y$3&gt;5,"Mf","Af")</f>
        <v>Af</v>
      </c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341"/>
      <c r="K12" s="342"/>
      <c r="L12" s="342"/>
      <c r="M12" s="342"/>
      <c r="N12" s="342"/>
      <c r="O12" s="168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7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tr">
        <f>IF(Karakterlap!$Y$3&gt;1,"fegy.hasz.(tahdzsi)","")</f>
        <v/>
      </c>
      <c r="B3" s="147"/>
      <c r="C3" s="147"/>
      <c r="D3" s="147"/>
      <c r="E3" s="147"/>
      <c r="F3" s="147"/>
      <c r="G3" s="21"/>
      <c r="H3" s="147" t="str">
        <f>IF(Karakterlap!$Y$3&gt;1,"Mf","")</f>
        <v/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8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665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790</v>
      </c>
      <c r="K7" s="147"/>
      <c r="L7" s="147"/>
      <c r="M7" s="147"/>
      <c r="N7" s="147"/>
      <c r="O7" s="147"/>
      <c r="P7" s="21"/>
      <c r="Q7" s="23" t="s">
        <v>642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705</v>
      </c>
      <c r="K8" s="147"/>
      <c r="L8" s="147"/>
      <c r="M8" s="147"/>
      <c r="N8" s="147"/>
      <c r="O8" s="147"/>
      <c r="P8" s="21"/>
      <c r="Q8" s="23" t="s">
        <v>642</v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tr">
        <f>IF(Karakterlap!$Y$3&gt;1,"legendaismeret","")</f>
        <v/>
      </c>
      <c r="K9" s="147"/>
      <c r="L9" s="147"/>
      <c r="M9" s="147"/>
      <c r="N9" s="147"/>
      <c r="O9" s="147"/>
      <c r="P9" s="21"/>
      <c r="Q9" s="23" t="str">
        <f>IF(Karakterlap!$Y$3&gt;1,"Af","")</f>
        <v/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tr">
        <f>IF(Karakterlap!$Y$3&gt;2,"irodalom","")</f>
        <v/>
      </c>
      <c r="K10" s="147"/>
      <c r="L10" s="147"/>
      <c r="M10" s="147"/>
      <c r="N10" s="147"/>
      <c r="O10" s="147"/>
      <c r="P10" s="21"/>
      <c r="Q10" s="23" t="str">
        <f>IF(Karakterlap!$Y$3&gt;2,"Af","")</f>
        <v/>
      </c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 t="str">
        <f>IF(Karakterlap!$Y$3&gt;3,"építészet","")</f>
        <v/>
      </c>
      <c r="K11" s="147"/>
      <c r="L11" s="147"/>
      <c r="M11" s="147"/>
      <c r="N11" s="147"/>
      <c r="O11" s="147"/>
      <c r="P11" s="21"/>
      <c r="Q11" s="23" t="str">
        <f>IF(Karakterlap!$Y$3&gt;3,"Af","")</f>
        <v/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 t="s">
        <v>799</v>
      </c>
      <c r="AB11" s="147"/>
      <c r="AC11" s="147"/>
      <c r="AD11" s="147"/>
      <c r="AE11" s="147"/>
      <c r="AF11" s="147"/>
      <c r="AG11" s="147"/>
      <c r="AH11" s="21"/>
      <c r="AI11" s="147" t="str">
        <f>IF(Karakterlap!$Y$3&gt;2,"Mf","Af")</f>
        <v>Af</v>
      </c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 t="str">
        <f>IF(Karakterlap!$Y$3&gt;4,"herbalizmus","")</f>
        <v/>
      </c>
      <c r="K12" s="147"/>
      <c r="L12" s="147"/>
      <c r="M12" s="147"/>
      <c r="N12" s="147"/>
      <c r="O12" s="147"/>
      <c r="P12" s="21"/>
      <c r="Q12" s="23" t="str">
        <f>IF(Karakterlap!$Y$3&gt;4,"Af","")</f>
        <v/>
      </c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 t="str">
        <f>IF(Karakterlap!$Y$3&gt;5,"méregsemlegesítés","")</f>
        <v/>
      </c>
      <c r="K13" s="147"/>
      <c r="L13" s="147"/>
      <c r="M13" s="147"/>
      <c r="N13" s="147"/>
      <c r="O13" s="147"/>
      <c r="P13" s="21"/>
      <c r="Q13" s="23" t="str">
        <f>IF(Karakterlap!$Y$3&gt;5,"Af","")</f>
        <v/>
      </c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 t="str">
        <f>IF(Karakterlap!$Y$3&gt;6,"térképészet","")</f>
        <v/>
      </c>
      <c r="K14" s="147"/>
      <c r="L14" s="147"/>
      <c r="M14" s="147"/>
      <c r="N14" s="147"/>
      <c r="O14" s="147"/>
      <c r="P14" s="21"/>
      <c r="Q14" s="23" t="str">
        <f>IF(Karakterlap!$Y$3&gt;6,"Af","")</f>
        <v/>
      </c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 enableFormatConditionsCalculation="0"/>
  <dimension ref="A1:AJ17"/>
  <sheetViews>
    <sheetView workbookViewId="0">
      <selection activeCell="J21" sqref="J21"/>
    </sheetView>
  </sheetViews>
  <sheetFormatPr baseColWidth="10" defaultColWidth="8.83203125" defaultRowHeight="15" x14ac:dyDescent="0.2"/>
  <cols>
    <col min="1" max="53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905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646</v>
      </c>
      <c r="K2" s="147"/>
      <c r="L2" s="147"/>
      <c r="M2" s="147"/>
      <c r="N2" s="147"/>
      <c r="O2" s="147"/>
      <c r="P2" s="21"/>
      <c r="Q2" s="23" t="s">
        <v>642</v>
      </c>
      <c r="R2" s="146" t="s">
        <v>648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908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647</v>
      </c>
      <c r="K3" s="147"/>
      <c r="L3" s="147"/>
      <c r="M3" s="147"/>
      <c r="N3" s="147"/>
      <c r="O3" s="147"/>
      <c r="P3" s="21"/>
      <c r="Q3" s="23" t="s">
        <v>642</v>
      </c>
      <c r="R3" s="146" t="s">
        <v>649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655</v>
      </c>
      <c r="B4" s="147"/>
      <c r="C4" s="147"/>
      <c r="D4" s="147"/>
      <c r="E4" s="147"/>
      <c r="F4" s="147"/>
      <c r="G4" s="21"/>
      <c r="H4" s="147" t="s">
        <v>652</v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645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146"/>
      <c r="K5" s="147"/>
      <c r="L5" s="147"/>
      <c r="M5" s="147"/>
      <c r="N5" s="147"/>
      <c r="O5" s="147"/>
      <c r="P5" s="21"/>
      <c r="Q5" s="23"/>
      <c r="R5" s="146" t="s">
        <v>650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 t="s">
        <v>651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 t="s">
        <v>653</v>
      </c>
      <c r="S7" s="147"/>
      <c r="T7" s="147"/>
      <c r="U7" s="147"/>
      <c r="V7" s="147"/>
      <c r="W7" s="147"/>
      <c r="X7" s="21"/>
      <c r="Y7" s="147" t="s">
        <v>652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 t="s">
        <v>643</v>
      </c>
      <c r="S8" s="147"/>
      <c r="T8" s="147"/>
      <c r="U8" s="147"/>
      <c r="V8" s="147"/>
      <c r="W8" s="147"/>
      <c r="X8" s="21"/>
      <c r="Y8" s="147" t="s">
        <v>652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 t="s">
        <v>654</v>
      </c>
      <c r="S9" s="147"/>
      <c r="T9" s="147"/>
      <c r="U9" s="147"/>
      <c r="V9" s="147"/>
      <c r="W9" s="147"/>
      <c r="X9" s="21"/>
      <c r="Y9" s="147" t="s">
        <v>652</v>
      </c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/>
      <c r="K13" s="147"/>
      <c r="L13" s="147"/>
      <c r="M13" s="147"/>
      <c r="N13" s="147"/>
      <c r="O13" s="147"/>
      <c r="P13" s="21"/>
      <c r="Q13" s="23"/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/>
      <c r="K14" s="147"/>
      <c r="L14" s="147"/>
      <c r="M14" s="147"/>
      <c r="N14" s="147"/>
      <c r="O14" s="147"/>
      <c r="P14" s="21"/>
      <c r="Q14" s="23"/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/>
      <c r="K15" s="147"/>
      <c r="L15" s="147"/>
      <c r="M15" s="147"/>
      <c r="N15" s="147"/>
      <c r="O15" s="147"/>
      <c r="P15" s="21"/>
      <c r="Q15" s="23"/>
      <c r="R15" s="146"/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/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9" enableFormatConditionsCalculation="0"/>
  <dimension ref="A1:AJ17"/>
  <sheetViews>
    <sheetView workbookViewId="0">
      <selection activeCell="T20" sqref="T20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4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 t="str">
        <f>IF(Karakterlap!$Y$3&gt;4,"Mf","")</f>
        <v/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665</v>
      </c>
      <c r="S5" s="147"/>
      <c r="T5" s="147"/>
      <c r="U5" s="147"/>
      <c r="V5" s="147"/>
      <c r="W5" s="147"/>
      <c r="X5" s="21"/>
      <c r="Y5" s="147" t="str">
        <f>IF(Karakterlap!$Y$3&gt;2,"Mf","Af")</f>
        <v>Af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">
        <v>800</v>
      </c>
      <c r="S6" s="147"/>
      <c r="T6" s="147"/>
      <c r="U6" s="147"/>
      <c r="V6" s="147"/>
      <c r="W6" s="147"/>
      <c r="X6" s="21"/>
      <c r="Y6" s="147" t="s">
        <v>642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662</v>
      </c>
      <c r="K7" s="147"/>
      <c r="L7" s="147"/>
      <c r="M7" s="147"/>
      <c r="N7" s="147"/>
      <c r="O7" s="147"/>
      <c r="P7" s="21"/>
      <c r="Q7" s="23" t="s">
        <v>642</v>
      </c>
      <c r="R7" s="146" t="s">
        <v>764</v>
      </c>
      <c r="S7" s="147"/>
      <c r="T7" s="147"/>
      <c r="U7" s="147"/>
      <c r="V7" s="147"/>
      <c r="W7" s="147"/>
      <c r="X7" s="21"/>
      <c r="Y7" s="147" t="s">
        <v>642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865</v>
      </c>
      <c r="K8" s="147"/>
      <c r="L8" s="147"/>
      <c r="M8" s="147"/>
      <c r="N8" s="147"/>
      <c r="O8" s="147"/>
      <c r="P8" s="21"/>
      <c r="Q8" s="23" t="s">
        <v>642</v>
      </c>
      <c r="R8" s="146" t="s">
        <v>792</v>
      </c>
      <c r="S8" s="147"/>
      <c r="T8" s="147"/>
      <c r="U8" s="147"/>
      <c r="V8" s="147"/>
      <c r="W8" s="147"/>
      <c r="X8" s="21"/>
      <c r="Y8" s="147" t="s">
        <v>642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866</v>
      </c>
      <c r="K9" s="147"/>
      <c r="L9" s="147"/>
      <c r="M9" s="147"/>
      <c r="N9" s="147"/>
      <c r="O9" s="147"/>
      <c r="P9" s="21"/>
      <c r="Q9" s="23" t="s">
        <v>642</v>
      </c>
      <c r="R9" s="146" t="s">
        <v>771</v>
      </c>
      <c r="S9" s="147"/>
      <c r="T9" s="147"/>
      <c r="U9" s="147"/>
      <c r="V9" s="147"/>
      <c r="W9" s="147"/>
      <c r="X9" s="21"/>
      <c r="Y9" s="159">
        <v>0.3</v>
      </c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tr">
        <f>IF(Karakterlap!$Y$3&gt;3,"térképészet","")</f>
        <v/>
      </c>
      <c r="K10" s="147"/>
      <c r="L10" s="147"/>
      <c r="M10" s="147"/>
      <c r="N10" s="147"/>
      <c r="O10" s="147"/>
      <c r="P10" s="21"/>
      <c r="Q10" s="23" t="str">
        <f>IF(Karakterlap!$Y$3&gt;3,"Af","")</f>
        <v/>
      </c>
      <c r="R10" s="146" t="s">
        <v>771</v>
      </c>
      <c r="S10" s="147"/>
      <c r="T10" s="147"/>
      <c r="U10" s="147"/>
      <c r="V10" s="147"/>
      <c r="W10" s="147"/>
      <c r="X10" s="21"/>
      <c r="Y10" s="159">
        <v>0.3</v>
      </c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 t="s">
        <v>771</v>
      </c>
      <c r="S11" s="147"/>
      <c r="T11" s="147"/>
      <c r="U11" s="147"/>
      <c r="V11" s="147"/>
      <c r="W11" s="147"/>
      <c r="X11" s="21"/>
      <c r="Y11" s="159">
        <v>0.3</v>
      </c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0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4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 t="str">
        <f>IF(Karakterlap!$Y$3&gt;4,"Mf","")</f>
        <v/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665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">
        <v>800</v>
      </c>
      <c r="S6" s="147"/>
      <c r="T6" s="147"/>
      <c r="U6" s="147"/>
      <c r="V6" s="147"/>
      <c r="W6" s="147"/>
      <c r="X6" s="21"/>
      <c r="Y6" s="147" t="s">
        <v>642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662</v>
      </c>
      <c r="K7" s="147"/>
      <c r="L7" s="147"/>
      <c r="M7" s="147"/>
      <c r="N7" s="147"/>
      <c r="O7" s="147"/>
      <c r="P7" s="21"/>
      <c r="Q7" s="23" t="s">
        <v>642</v>
      </c>
      <c r="R7" s="146" t="s">
        <v>764</v>
      </c>
      <c r="S7" s="147"/>
      <c r="T7" s="147"/>
      <c r="U7" s="147"/>
      <c r="V7" s="147"/>
      <c r="W7" s="147"/>
      <c r="X7" s="21"/>
      <c r="Y7" s="147" t="s">
        <v>652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867</v>
      </c>
      <c r="K8" s="147"/>
      <c r="L8" s="147"/>
      <c r="M8" s="147"/>
      <c r="N8" s="147"/>
      <c r="O8" s="147"/>
      <c r="P8" s="21"/>
      <c r="Q8" s="23" t="str">
        <f>IF(Karakterlap!$Y$3&gt;3,"Mf","Af")</f>
        <v>Af</v>
      </c>
      <c r="R8" s="146" t="s">
        <v>792</v>
      </c>
      <c r="S8" s="147"/>
      <c r="T8" s="147"/>
      <c r="U8" s="147"/>
      <c r="V8" s="147"/>
      <c r="W8" s="147"/>
      <c r="X8" s="21"/>
      <c r="Y8" s="147" t="s">
        <v>642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1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tr">
        <f>IF(Karakterlap!$Y$3&gt;2,"Mf","Af")</f>
        <v>Af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4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 t="str">
        <f>IF(Karakterlap!$Y$3&gt;4,"Mf","")</f>
        <v/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652</v>
      </c>
      <c r="R5" s="146" t="s">
        <v>665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">
        <v>800</v>
      </c>
      <c r="S6" s="147"/>
      <c r="T6" s="147"/>
      <c r="U6" s="147"/>
      <c r="V6" s="147"/>
      <c r="W6" s="147"/>
      <c r="X6" s="21"/>
      <c r="Y6" s="147" t="s">
        <v>642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662</v>
      </c>
      <c r="K7" s="147"/>
      <c r="L7" s="147"/>
      <c r="M7" s="147"/>
      <c r="N7" s="147"/>
      <c r="O7" s="147"/>
      <c r="P7" s="21"/>
      <c r="Q7" s="23" t="s">
        <v>642</v>
      </c>
      <c r="R7" s="146" t="s">
        <v>764</v>
      </c>
      <c r="S7" s="147"/>
      <c r="T7" s="147"/>
      <c r="U7" s="147"/>
      <c r="V7" s="147"/>
      <c r="W7" s="147"/>
      <c r="X7" s="21"/>
      <c r="Y7" s="147" t="s">
        <v>642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803</v>
      </c>
      <c r="K8" s="147"/>
      <c r="L8" s="147"/>
      <c r="M8" s="147"/>
      <c r="N8" s="147"/>
      <c r="O8" s="147"/>
      <c r="P8" s="21"/>
      <c r="Q8" s="23" t="str">
        <f>IF(Karakterlap!$Y$3&gt;3,"Mf","Af")</f>
        <v>Af</v>
      </c>
      <c r="R8" s="146" t="s">
        <v>792</v>
      </c>
      <c r="S8" s="147"/>
      <c r="T8" s="147"/>
      <c r="U8" s="147"/>
      <c r="V8" s="147"/>
      <c r="W8" s="147"/>
      <c r="X8" s="21"/>
      <c r="Y8" s="147" t="s">
        <v>642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2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tr">
        <f>IF(Karakterlap!$Y$3&gt;1,"Mf","Af")</f>
        <v>Af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802</v>
      </c>
      <c r="S5" s="147"/>
      <c r="T5" s="147"/>
      <c r="U5" s="147"/>
      <c r="V5" s="147"/>
      <c r="W5" s="147"/>
      <c r="X5" s="21"/>
      <c r="Y5" s="147" t="s">
        <v>652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">
        <v>802</v>
      </c>
      <c r="S6" s="147"/>
      <c r="T6" s="147"/>
      <c r="U6" s="147"/>
      <c r="V6" s="147"/>
      <c r="W6" s="147"/>
      <c r="X6" s="21"/>
      <c r="Y6" s="147" t="s">
        <v>642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662</v>
      </c>
      <c r="K7" s="147"/>
      <c r="L7" s="147"/>
      <c r="M7" s="147"/>
      <c r="N7" s="147"/>
      <c r="O7" s="147"/>
      <c r="P7" s="21"/>
      <c r="Q7" s="23" t="s">
        <v>642</v>
      </c>
      <c r="R7" s="146" t="s">
        <v>764</v>
      </c>
      <c r="S7" s="147"/>
      <c r="T7" s="147"/>
      <c r="U7" s="147"/>
      <c r="V7" s="147"/>
      <c r="W7" s="147"/>
      <c r="X7" s="21"/>
      <c r="Y7" s="147" t="s">
        <v>642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803</v>
      </c>
      <c r="K8" s="147"/>
      <c r="L8" s="147"/>
      <c r="M8" s="147"/>
      <c r="N8" s="147"/>
      <c r="O8" s="147"/>
      <c r="P8" s="21"/>
      <c r="Q8" s="23" t="s">
        <v>642</v>
      </c>
      <c r="R8" s="146" t="s">
        <v>665</v>
      </c>
      <c r="S8" s="147"/>
      <c r="T8" s="147"/>
      <c r="U8" s="147"/>
      <c r="V8" s="147"/>
      <c r="W8" s="147"/>
      <c r="X8" s="21"/>
      <c r="Y8" s="147" t="s">
        <v>642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804</v>
      </c>
      <c r="K9" s="147"/>
      <c r="L9" s="147"/>
      <c r="M9" s="147"/>
      <c r="N9" s="147"/>
      <c r="O9" s="147"/>
      <c r="P9" s="21"/>
      <c r="Q9" s="23" t="s">
        <v>642</v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">
        <v>805</v>
      </c>
      <c r="K10" s="147"/>
      <c r="L10" s="147"/>
      <c r="M10" s="147"/>
      <c r="N10" s="147"/>
      <c r="O10" s="147"/>
      <c r="P10" s="21"/>
      <c r="Q10" s="23" t="s">
        <v>652</v>
      </c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 t="str">
        <f>IF(Karakterlap!$Y$3&gt;2,"méregkeverés/seml.","")</f>
        <v/>
      </c>
      <c r="K11" s="147"/>
      <c r="L11" s="147"/>
      <c r="M11" s="147"/>
      <c r="N11" s="147"/>
      <c r="O11" s="147"/>
      <c r="P11" s="21"/>
      <c r="Q11" s="23" t="str">
        <f>IF(Karakterlap!$Y$3&gt;2,"Af","")</f>
        <v/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3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807</v>
      </c>
      <c r="B3" s="147"/>
      <c r="C3" s="147"/>
      <c r="D3" s="147"/>
      <c r="E3" s="147"/>
      <c r="F3" s="147"/>
      <c r="G3" s="21"/>
      <c r="H3" s="147" t="s">
        <v>652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652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5</v>
      </c>
      <c r="AJ3" s="174"/>
    </row>
    <row r="4" spans="1:36" x14ac:dyDescent="0.2">
      <c r="A4" s="146" t="str">
        <f>IF(Karakterlap!$Y$3&gt;4,"fegyverhasználat","")</f>
        <v/>
      </c>
      <c r="B4" s="147"/>
      <c r="C4" s="147"/>
      <c r="D4" s="147"/>
      <c r="E4" s="147"/>
      <c r="F4" s="147"/>
      <c r="G4" s="21"/>
      <c r="H4" s="147" t="str">
        <f>IF(Karakterlap!$Y$3&gt;4,"Mf","")</f>
        <v/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>
        <v>5</v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808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>
        <v>4</v>
      </c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">
        <v>771</v>
      </c>
      <c r="S6" s="147"/>
      <c r="T6" s="147"/>
      <c r="U6" s="147"/>
      <c r="V6" s="147"/>
      <c r="W6" s="147"/>
      <c r="X6" s="21"/>
      <c r="Y6" s="159">
        <v>0.3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>
        <v>3</v>
      </c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661</v>
      </c>
      <c r="K7" s="147"/>
      <c r="L7" s="147"/>
      <c r="M7" s="147"/>
      <c r="N7" s="147"/>
      <c r="O7" s="147"/>
      <c r="P7" s="21"/>
      <c r="Q7" s="23" t="s">
        <v>642</v>
      </c>
      <c r="R7" s="146" t="s">
        <v>665</v>
      </c>
      <c r="S7" s="147"/>
      <c r="T7" s="147"/>
      <c r="U7" s="147"/>
      <c r="V7" s="147"/>
      <c r="W7" s="147"/>
      <c r="X7" s="21"/>
      <c r="Y7" s="147" t="s">
        <v>642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662</v>
      </c>
      <c r="K8" s="147"/>
      <c r="L8" s="147"/>
      <c r="M8" s="147"/>
      <c r="N8" s="147"/>
      <c r="O8" s="147"/>
      <c r="P8" s="21"/>
      <c r="Q8" s="23" t="str">
        <f>IF(Karakterlap!$Y$3&gt;2,"Mf","Af")</f>
        <v>Af</v>
      </c>
      <c r="R8" s="146" t="s">
        <v>654</v>
      </c>
      <c r="S8" s="147"/>
      <c r="T8" s="147"/>
      <c r="U8" s="147"/>
      <c r="V8" s="147"/>
      <c r="W8" s="147"/>
      <c r="X8" s="21"/>
      <c r="Y8" s="147" t="s">
        <v>652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809</v>
      </c>
      <c r="K9" s="147"/>
      <c r="L9" s="147"/>
      <c r="M9" s="147"/>
      <c r="N9" s="147"/>
      <c r="O9" s="147"/>
      <c r="P9" s="21"/>
      <c r="Q9" s="23" t="s">
        <v>642</v>
      </c>
      <c r="R9" s="146" t="s">
        <v>792</v>
      </c>
      <c r="S9" s="147"/>
      <c r="T9" s="147"/>
      <c r="U9" s="147"/>
      <c r="V9" s="147"/>
      <c r="W9" s="147"/>
      <c r="X9" s="21"/>
      <c r="Y9" s="147" t="s">
        <v>642</v>
      </c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">
        <v>647</v>
      </c>
      <c r="K10" s="147"/>
      <c r="L10" s="147"/>
      <c r="M10" s="147"/>
      <c r="N10" s="147"/>
      <c r="O10" s="147"/>
      <c r="P10" s="21"/>
      <c r="Q10" s="23" t="s">
        <v>642</v>
      </c>
      <c r="R10" s="146" t="s">
        <v>810</v>
      </c>
      <c r="S10" s="147"/>
      <c r="T10" s="147"/>
      <c r="U10" s="147"/>
      <c r="V10" s="147"/>
      <c r="W10" s="147"/>
      <c r="X10" s="21"/>
      <c r="Y10" s="147" t="s">
        <v>652</v>
      </c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4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3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735</v>
      </c>
      <c r="S5" s="147"/>
      <c r="T5" s="147"/>
      <c r="U5" s="147"/>
      <c r="V5" s="147"/>
      <c r="W5" s="147"/>
      <c r="X5" s="21"/>
      <c r="Y5" s="147" t="str">
        <f>IF(Karakterlap!$Y$3&gt;2,"Mf","Af")</f>
        <v>Af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">
        <v>645</v>
      </c>
      <c r="S6" s="147"/>
      <c r="T6" s="147"/>
      <c r="U6" s="147"/>
      <c r="V6" s="147"/>
      <c r="W6" s="147"/>
      <c r="X6" s="21"/>
      <c r="Y6" s="147" t="s">
        <v>642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tr">
        <f>IF(Karakterlap!$Y$3&gt;1,"térképészet","")</f>
        <v/>
      </c>
      <c r="K7" s="147"/>
      <c r="L7" s="147"/>
      <c r="M7" s="147"/>
      <c r="N7" s="147"/>
      <c r="O7" s="147"/>
      <c r="P7" s="21"/>
      <c r="Q7" s="23" t="str">
        <f>IF(Karakterlap!$Y$3&lt;2,"",IF(Karakterlap!$Y$3&gt;6,"Mf","Af"))</f>
        <v/>
      </c>
      <c r="R7" s="146" t="s">
        <v>812</v>
      </c>
      <c r="S7" s="147"/>
      <c r="T7" s="147"/>
      <c r="U7" s="147"/>
      <c r="V7" s="147"/>
      <c r="W7" s="147"/>
      <c r="X7" s="21"/>
      <c r="Y7" s="147" t="s">
        <v>652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tr">
        <f>IF(Karakterlap!$Y$3&gt;2,"időjóslás","")</f>
        <v/>
      </c>
      <c r="K8" s="147"/>
      <c r="L8" s="147"/>
      <c r="M8" s="147"/>
      <c r="N8" s="147"/>
      <c r="O8" s="147"/>
      <c r="P8" s="21"/>
      <c r="Q8" s="23" t="str">
        <f>IF(Karakterlap!$Y$3&gt;2,"Af","")</f>
        <v/>
      </c>
      <c r="R8" s="146" t="s">
        <v>814</v>
      </c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 t="s">
        <v>813</v>
      </c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 t="s">
        <v>815</v>
      </c>
      <c r="S10" s="147"/>
      <c r="T10" s="147"/>
      <c r="U10" s="147"/>
      <c r="V10" s="147"/>
      <c r="W10" s="147"/>
      <c r="X10" s="21"/>
      <c r="Y10" s="147" t="s">
        <v>642</v>
      </c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 t="str">
        <f>IF(Karakterlap!$Y$3&gt;3,"nyomolvasás/elt.","")</f>
        <v/>
      </c>
      <c r="S11" s="147"/>
      <c r="T11" s="147"/>
      <c r="U11" s="147"/>
      <c r="V11" s="147"/>
      <c r="W11" s="147"/>
      <c r="X11" s="21"/>
      <c r="Y11" s="147" t="str">
        <f>IF(Karakterlap!$Y$3&lt;4,"",IF(Karakterlap!$Y$3&gt;5,"Mf","Af"))</f>
        <v/>
      </c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5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tr">
        <f>IF(Karakterlap!$Y$3&gt;1,"fegyverismeret","")</f>
        <v/>
      </c>
      <c r="B3" s="147"/>
      <c r="C3" s="147"/>
      <c r="D3" s="147"/>
      <c r="E3" s="147"/>
      <c r="F3" s="147"/>
      <c r="G3" s="21"/>
      <c r="H3" s="147" t="str">
        <f>IF(Karakterlap!$Y$3&lt;2,"",IF(Karakterlap!$Y$3&gt;3,"Mf","Af"))</f>
        <v/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 t="str">
        <f>IF(Karakterlap!$Y$3&gt;2,"3","")</f>
        <v/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709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">
        <v>645</v>
      </c>
      <c r="S6" s="147"/>
      <c r="T6" s="147"/>
      <c r="U6" s="147"/>
      <c r="V6" s="147"/>
      <c r="W6" s="147"/>
      <c r="X6" s="21"/>
      <c r="Y6" s="147" t="s">
        <v>642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712</v>
      </c>
      <c r="K7" s="147"/>
      <c r="L7" s="147"/>
      <c r="M7" s="147"/>
      <c r="N7" s="147"/>
      <c r="O7" s="147"/>
      <c r="P7" s="21"/>
      <c r="Q7" s="23" t="s">
        <v>642</v>
      </c>
      <c r="R7" s="146" t="s">
        <v>819</v>
      </c>
      <c r="S7" s="147"/>
      <c r="T7" s="147"/>
      <c r="U7" s="147"/>
      <c r="V7" s="147"/>
      <c r="W7" s="147"/>
      <c r="X7" s="21"/>
      <c r="Y7" s="147" t="str">
        <f>IF(Karakterlap!$Y$3&gt;4,"Mf","Af")</f>
        <v>Af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817</v>
      </c>
      <c r="K8" s="147"/>
      <c r="L8" s="147"/>
      <c r="M8" s="147"/>
      <c r="N8" s="147"/>
      <c r="O8" s="147"/>
      <c r="P8" s="21"/>
      <c r="Q8" s="23" t="str">
        <f>IF(Karakterlap!$Y$3&gt;3,"Mf","Af")</f>
        <v>Af</v>
      </c>
      <c r="R8" s="146" t="s">
        <v>820</v>
      </c>
      <c r="S8" s="147"/>
      <c r="T8" s="147"/>
      <c r="U8" s="147"/>
      <c r="V8" s="147"/>
      <c r="W8" s="147"/>
      <c r="X8" s="21"/>
      <c r="Y8" s="147" t="str">
        <f>IF(Karakterlap!$Y$3&gt;3,"Mf","Af")</f>
        <v>Af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818</v>
      </c>
      <c r="K9" s="147"/>
      <c r="L9" s="147"/>
      <c r="M9" s="147"/>
      <c r="N9" s="147"/>
      <c r="O9" s="147"/>
      <c r="P9" s="21"/>
      <c r="Q9" s="23" t="s">
        <v>642</v>
      </c>
      <c r="R9" s="146" t="str">
        <f>IF(Karakterlap!$Y$3&gt;1,"helyismeret","")</f>
        <v/>
      </c>
      <c r="S9" s="147"/>
      <c r="T9" s="147"/>
      <c r="U9" s="147"/>
      <c r="V9" s="147"/>
      <c r="W9" s="147"/>
      <c r="X9" s="21"/>
      <c r="Y9" s="159" t="str">
        <f>IF(Karakterlap!$Y$3&gt;1,"35%","")</f>
        <v/>
      </c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">
        <v>705</v>
      </c>
      <c r="K10" s="147"/>
      <c r="L10" s="147"/>
      <c r="M10" s="147"/>
      <c r="N10" s="147"/>
      <c r="O10" s="147"/>
      <c r="P10" s="21"/>
      <c r="Q10" s="23" t="s">
        <v>642</v>
      </c>
      <c r="R10" s="146" t="str">
        <f>IF(Karakterlap!$Y$3&gt;2,"kultúra","")</f>
        <v/>
      </c>
      <c r="S10" s="147"/>
      <c r="T10" s="147"/>
      <c r="U10" s="147"/>
      <c r="V10" s="147"/>
      <c r="W10" s="147"/>
      <c r="X10" s="21"/>
      <c r="Y10" s="147" t="str">
        <f>IF(Karakterlap!$Y$3&gt;2,"Af","")</f>
        <v/>
      </c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6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642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658</v>
      </c>
      <c r="B3" s="147"/>
      <c r="C3" s="147"/>
      <c r="D3" s="147"/>
      <c r="E3" s="147"/>
      <c r="F3" s="147"/>
      <c r="G3" s="21"/>
      <c r="H3" s="147" t="str">
        <f>IF(Karakterlap!$Y$3&gt;2,"Mf","Af")</f>
        <v>Af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 t="str">
        <f>IF(Karakterlap!$Y$3&gt;1,"3","")</f>
        <v/>
      </c>
      <c r="AJ3" s="174"/>
    </row>
    <row r="4" spans="1:36" x14ac:dyDescent="0.2">
      <c r="A4" s="146" t="s">
        <v>670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822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">
        <v>820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647</v>
      </c>
      <c r="K7" s="147"/>
      <c r="L7" s="147"/>
      <c r="M7" s="147"/>
      <c r="N7" s="147"/>
      <c r="O7" s="147"/>
      <c r="P7" s="21"/>
      <c r="Q7" s="23" t="s">
        <v>642</v>
      </c>
      <c r="R7" s="146" t="str">
        <f>IF(Karakterlap!$Y$3&gt;1,"kultúra","")</f>
        <v/>
      </c>
      <c r="S7" s="147"/>
      <c r="T7" s="147"/>
      <c r="U7" s="147"/>
      <c r="V7" s="147"/>
      <c r="W7" s="147"/>
      <c r="X7" s="21"/>
      <c r="Y7" s="147" t="str">
        <f>IF(Karakterlap!$Y$3&gt;1,"Af","")</f>
        <v/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817</v>
      </c>
      <c r="K8" s="147"/>
      <c r="L8" s="147"/>
      <c r="M8" s="147"/>
      <c r="N8" s="147"/>
      <c r="O8" s="147"/>
      <c r="P8" s="21"/>
      <c r="Q8" s="23" t="s">
        <v>642</v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818</v>
      </c>
      <c r="K9" s="147"/>
      <c r="L9" s="147"/>
      <c r="M9" s="147"/>
      <c r="N9" s="147"/>
      <c r="O9" s="147"/>
      <c r="P9" s="21"/>
      <c r="Q9" s="23" t="str">
        <f>IF(Karakterlap!$Y$3&gt;3,"Mf","Af")</f>
        <v>Af</v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">
        <v>705</v>
      </c>
      <c r="K10" s="147"/>
      <c r="L10" s="147"/>
      <c r="M10" s="147"/>
      <c r="N10" s="147"/>
      <c r="O10" s="147"/>
      <c r="P10" s="21"/>
      <c r="Q10" s="23" t="str">
        <f>IF(Karakterlap!$Y$3&gt;3,"Mf","Af")</f>
        <v>Af</v>
      </c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 t="str">
        <f>IF(Karakterlap!$Y$3&gt;2,"építészet","")</f>
        <v/>
      </c>
      <c r="K11" s="147"/>
      <c r="L11" s="147"/>
      <c r="M11" s="147"/>
      <c r="N11" s="147"/>
      <c r="O11" s="147"/>
      <c r="P11" s="21"/>
      <c r="Q11" s="23" t="str">
        <f>IF(Karakterlap!$Y$3&gt;2,"Af","")</f>
        <v/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7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3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>
        <v>2</v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665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">
        <v>643</v>
      </c>
      <c r="S6" s="147"/>
      <c r="T6" s="147"/>
      <c r="U6" s="147"/>
      <c r="V6" s="147"/>
      <c r="W6" s="147"/>
      <c r="X6" s="21"/>
      <c r="Y6" s="147" t="s">
        <v>642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661</v>
      </c>
      <c r="K7" s="147"/>
      <c r="L7" s="147"/>
      <c r="M7" s="147"/>
      <c r="N7" s="147"/>
      <c r="O7" s="147"/>
      <c r="P7" s="21"/>
      <c r="Q7" s="23" t="s">
        <v>642</v>
      </c>
      <c r="R7" s="146" t="str">
        <f>IF(Karakterlap!$Y$3&gt;2,"kultúra","")</f>
        <v/>
      </c>
      <c r="S7" s="147"/>
      <c r="T7" s="147"/>
      <c r="U7" s="147"/>
      <c r="V7" s="147"/>
      <c r="W7" s="147"/>
      <c r="X7" s="21"/>
      <c r="Y7" s="147" t="str">
        <f>IF(Karakterlap!$Y$3&gt;2,"Af","")</f>
        <v/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662</v>
      </c>
      <c r="K8" s="147"/>
      <c r="L8" s="147"/>
      <c r="M8" s="147"/>
      <c r="N8" s="147"/>
      <c r="O8" s="147"/>
      <c r="P8" s="21"/>
      <c r="Q8" s="23" t="str">
        <f>IF(Karakterlap!$Y$3&gt;4,"Mf","Af")</f>
        <v>Af</v>
      </c>
      <c r="R8" s="146" t="str">
        <f>IF(Karakterlap!$Y$3&gt;2,"helyismeret","")</f>
        <v/>
      </c>
      <c r="S8" s="147"/>
      <c r="T8" s="147"/>
      <c r="U8" s="147"/>
      <c r="V8" s="147"/>
      <c r="W8" s="147"/>
      <c r="X8" s="21"/>
      <c r="Y8" s="147" t="str">
        <f>IF(Karakterlap!$Y$3&gt;2,"30%","")</f>
        <v/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712</v>
      </c>
      <c r="K9" s="147"/>
      <c r="L9" s="147"/>
      <c r="M9" s="147"/>
      <c r="N9" s="147"/>
      <c r="O9" s="147"/>
      <c r="P9" s="21"/>
      <c r="Q9" s="23" t="s">
        <v>642</v>
      </c>
      <c r="R9" s="146" t="str">
        <f>IF(Karakterlap!$Y$3&gt;3,"értékbecslés","")</f>
        <v/>
      </c>
      <c r="S9" s="147"/>
      <c r="T9" s="147"/>
      <c r="U9" s="147"/>
      <c r="V9" s="147"/>
      <c r="W9" s="147"/>
      <c r="X9" s="21"/>
      <c r="Y9" s="147" t="str">
        <f>IF(Karakterlap!$Y$3&gt;3,"Af","")</f>
        <v/>
      </c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tr">
        <f>IF(Karakterlap!$Y$3&gt;1,"térképészet","")</f>
        <v/>
      </c>
      <c r="K10" s="147"/>
      <c r="L10" s="147"/>
      <c r="M10" s="147"/>
      <c r="N10" s="147"/>
      <c r="O10" s="147"/>
      <c r="P10" s="21"/>
      <c r="Q10" s="23" t="str">
        <f>IF(Karakterlap!$Y$3&gt;1,"Af","")</f>
        <v/>
      </c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 t="str">
        <f>IF(Karakterlap!$Y$3&gt;5,"Mf","Af")</f>
        <v>Af</v>
      </c>
      <c r="AJ11" s="174"/>
    </row>
    <row r="12" spans="1:36" ht="16" thickBot="1" x14ac:dyDescent="0.25">
      <c r="A12" s="146" t="str">
        <f>IF(Karakterlap!$Y$3&gt;4,"álcázás/álruha","")</f>
        <v/>
      </c>
      <c r="B12" s="147"/>
      <c r="C12" s="147"/>
      <c r="D12" s="147"/>
      <c r="E12" s="147"/>
      <c r="F12" s="147"/>
      <c r="G12" s="21"/>
      <c r="H12" s="147" t="str">
        <f>IF(Karakterlap!$Y$3&gt;4,"Af","")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8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825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3</v>
      </c>
      <c r="AJ3" s="174"/>
    </row>
    <row r="4" spans="1:36" x14ac:dyDescent="0.2">
      <c r="A4" s="146" t="s">
        <v>676</v>
      </c>
      <c r="B4" s="147"/>
      <c r="C4" s="147"/>
      <c r="D4" s="147"/>
      <c r="E4" s="147"/>
      <c r="F4" s="147"/>
      <c r="G4" s="21"/>
      <c r="H4" s="147" t="str">
        <f>IF(Karakterlap!$Y$3&gt;4,"Mf","Af")</f>
        <v>Af</v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tr">
        <f>IF(Karakterlap!$Y$3&gt;3,"Mf","Af")</f>
        <v>Af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656</v>
      </c>
      <c r="B5" s="147"/>
      <c r="C5" s="147"/>
      <c r="D5" s="147"/>
      <c r="E5" s="147"/>
      <c r="F5" s="147"/>
      <c r="G5" s="21"/>
      <c r="H5" s="147" t="str">
        <f>IF(Karakterlap!$Y$3&gt;6,"Mf","Af")</f>
        <v>Af</v>
      </c>
      <c r="I5" s="174"/>
      <c r="J5" s="341" t="s">
        <v>663</v>
      </c>
      <c r="K5" s="342"/>
      <c r="L5" s="342"/>
      <c r="M5" s="342"/>
      <c r="N5" s="342"/>
      <c r="O5" s="168"/>
      <c r="P5" s="21"/>
      <c r="Q5" s="23" t="str">
        <f>IF(Karakterlap!$Y$3&gt;2,"Mf","Af")</f>
        <v>Af</v>
      </c>
      <c r="R5" s="146" t="s">
        <v>665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826</v>
      </c>
      <c r="B6" s="147"/>
      <c r="C6" s="147"/>
      <c r="D6" s="147"/>
      <c r="E6" s="147"/>
      <c r="F6" s="147"/>
      <c r="G6" s="21"/>
      <c r="H6" s="147" t="str">
        <f>IF(Karakterlap!$Y$3&gt;5,"Mf","Af")</f>
        <v>Af</v>
      </c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tr">
        <f>IF(Karakterlap!$Y$3&gt;2,"futás","")</f>
        <v/>
      </c>
      <c r="S6" s="147"/>
      <c r="T6" s="147"/>
      <c r="U6" s="147"/>
      <c r="V6" s="147"/>
      <c r="W6" s="147"/>
      <c r="X6" s="21"/>
      <c r="Y6" s="147" t="str">
        <f>IF(Karakterlap!$Y$3&gt;2,"Af","")</f>
        <v/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 t="s">
        <v>687</v>
      </c>
      <c r="B7" s="147"/>
      <c r="C7" s="147"/>
      <c r="D7" s="147"/>
      <c r="E7" s="147"/>
      <c r="F7" s="147"/>
      <c r="G7" s="21"/>
      <c r="H7" s="147" t="s">
        <v>642</v>
      </c>
      <c r="I7" s="174"/>
      <c r="J7" s="146" t="s">
        <v>711</v>
      </c>
      <c r="K7" s="147"/>
      <c r="L7" s="147"/>
      <c r="M7" s="147"/>
      <c r="N7" s="147"/>
      <c r="O7" s="147"/>
      <c r="P7" s="21"/>
      <c r="Q7" s="23" t="s">
        <v>642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705</v>
      </c>
      <c r="K8" s="147"/>
      <c r="L8" s="147"/>
      <c r="M8" s="147"/>
      <c r="N8" s="147"/>
      <c r="O8" s="147"/>
      <c r="P8" s="21"/>
      <c r="Q8" s="23" t="str">
        <f>IF(Karakterlap!$Y$3&gt;3,"Mf","Af")</f>
        <v>Af</v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tr">
        <f>IF(Karakterlap!$Y$3&gt;4,"élettan","")</f>
        <v/>
      </c>
      <c r="K9" s="147"/>
      <c r="L9" s="147"/>
      <c r="M9" s="147"/>
      <c r="N9" s="147"/>
      <c r="O9" s="147"/>
      <c r="P9" s="21"/>
      <c r="Q9" s="23" t="str">
        <f>IF(Karakterlap!$Y$3&gt;4,"Af","")</f>
        <v/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7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668</v>
      </c>
      <c r="B2" s="147"/>
      <c r="C2" s="147"/>
      <c r="D2" s="147"/>
      <c r="E2" s="147"/>
      <c r="F2" s="147"/>
      <c r="G2" s="21"/>
      <c r="H2" s="147" t="str">
        <f>IF(Karakterlap!Y3&gt;1,"Mf","Af")</f>
        <v>Af</v>
      </c>
      <c r="I2" s="174"/>
      <c r="J2" s="146" t="s">
        <v>659</v>
      </c>
      <c r="K2" s="147"/>
      <c r="L2" s="147"/>
      <c r="M2" s="147"/>
      <c r="N2" s="147"/>
      <c r="O2" s="147"/>
      <c r="P2" s="21"/>
      <c r="Q2" s="23" t="s">
        <v>642</v>
      </c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656</v>
      </c>
      <c r="B3" s="147"/>
      <c r="C3" s="147"/>
      <c r="D3" s="147"/>
      <c r="E3" s="147"/>
      <c r="F3" s="147"/>
      <c r="G3" s="21"/>
      <c r="H3" s="147" t="str">
        <f>IF(Karakterlap!Y3&gt;2,"Mf","Af")</f>
        <v>Af</v>
      </c>
      <c r="I3" s="174"/>
      <c r="J3" s="146" t="s">
        <v>660</v>
      </c>
      <c r="K3" s="147"/>
      <c r="L3" s="147"/>
      <c r="M3" s="147"/>
      <c r="N3" s="147"/>
      <c r="O3" s="147"/>
      <c r="P3" s="21"/>
      <c r="Q3" s="23" t="s">
        <v>642</v>
      </c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339" t="s">
        <v>652</v>
      </c>
      <c r="AJ3" s="340"/>
    </row>
    <row r="4" spans="1:36" x14ac:dyDescent="0.2">
      <c r="A4" s="146" t="s">
        <v>657</v>
      </c>
      <c r="B4" s="147"/>
      <c r="C4" s="147"/>
      <c r="D4" s="147"/>
      <c r="E4" s="147"/>
      <c r="F4" s="147"/>
      <c r="G4" s="21"/>
      <c r="H4" s="147" t="str">
        <f>IF(Karakterlap!Y3&gt;3,"Mf","Af")</f>
        <v>Af</v>
      </c>
      <c r="I4" s="174"/>
      <c r="J4" s="146" t="s">
        <v>661</v>
      </c>
      <c r="K4" s="147"/>
      <c r="L4" s="147"/>
      <c r="M4" s="147"/>
      <c r="N4" s="147"/>
      <c r="O4" s="147"/>
      <c r="P4" s="21"/>
      <c r="Q4" s="23" t="s">
        <v>652</v>
      </c>
      <c r="R4" s="146" t="s">
        <v>654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339">
        <v>5</v>
      </c>
      <c r="AJ4" s="340"/>
    </row>
    <row r="5" spans="1:36" x14ac:dyDescent="0.2">
      <c r="A5" s="146" t="s">
        <v>658</v>
      </c>
      <c r="B5" s="147"/>
      <c r="C5" s="147"/>
      <c r="D5" s="147"/>
      <c r="E5" s="147"/>
      <c r="F5" s="147"/>
      <c r="G5" s="21"/>
      <c r="H5" s="147" t="s">
        <v>642</v>
      </c>
      <c r="I5" s="174"/>
      <c r="J5" s="146" t="s">
        <v>662</v>
      </c>
      <c r="K5" s="147"/>
      <c r="L5" s="147"/>
      <c r="M5" s="147"/>
      <c r="N5" s="147"/>
      <c r="O5" s="147"/>
      <c r="P5" s="21"/>
      <c r="Q5" s="23" t="s">
        <v>642</v>
      </c>
      <c r="R5" s="146" t="s">
        <v>666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339">
        <v>5</v>
      </c>
      <c r="AJ5" s="340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663</v>
      </c>
      <c r="K6" s="147"/>
      <c r="L6" s="147"/>
      <c r="M6" s="147"/>
      <c r="N6" s="147"/>
      <c r="O6" s="147"/>
      <c r="P6" s="21"/>
      <c r="Q6" s="23" t="s">
        <v>642</v>
      </c>
      <c r="R6" s="146" t="s">
        <v>667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664</v>
      </c>
      <c r="K7" s="147"/>
      <c r="L7" s="147"/>
      <c r="M7" s="147"/>
      <c r="N7" s="147"/>
      <c r="O7" s="147"/>
      <c r="P7" s="21"/>
      <c r="Q7" s="23" t="s">
        <v>642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665</v>
      </c>
      <c r="K8" s="147"/>
      <c r="L8" s="147"/>
      <c r="M8" s="147"/>
      <c r="N8" s="147"/>
      <c r="O8" s="147"/>
      <c r="P8" s="21"/>
      <c r="Q8" s="23" t="s">
        <v>652</v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9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tr">
        <f>IF(Karakterlap!$Y$3&gt;2,"fegyver dobás(tőr)","")</f>
        <v/>
      </c>
      <c r="B3" s="147"/>
      <c r="C3" s="147"/>
      <c r="D3" s="147"/>
      <c r="E3" s="147"/>
      <c r="F3" s="147"/>
      <c r="G3" s="21"/>
      <c r="H3" s="147" t="str">
        <f>IF(Karakterlap!$Y$3&gt;2,"Af","")</f>
        <v/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654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tr">
        <f>IF(Karakterlap!$Y$3&gt;4,"Mf","Af")</f>
        <v>Af</v>
      </c>
      <c r="R6" s="146" t="s">
        <v>665</v>
      </c>
      <c r="S6" s="147"/>
      <c r="T6" s="147"/>
      <c r="U6" s="147"/>
      <c r="V6" s="147"/>
      <c r="W6" s="147"/>
      <c r="X6" s="21"/>
      <c r="Y6" s="147" t="s">
        <v>642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827</v>
      </c>
      <c r="K7" s="147"/>
      <c r="L7" s="147"/>
      <c r="M7" s="147"/>
      <c r="N7" s="147"/>
      <c r="O7" s="147"/>
      <c r="P7" s="21"/>
      <c r="Q7" s="23" t="str">
        <f>IF(Karakterlap!$Y$3&gt;2,"Mf","Af")</f>
        <v>Af</v>
      </c>
      <c r="R7" s="146" t="s">
        <v>792</v>
      </c>
      <c r="S7" s="147"/>
      <c r="T7" s="147"/>
      <c r="U7" s="147"/>
      <c r="V7" s="147"/>
      <c r="W7" s="147"/>
      <c r="X7" s="21"/>
      <c r="Y7" s="147" t="s">
        <v>642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830</v>
      </c>
      <c r="K8" s="147"/>
      <c r="L8" s="147"/>
      <c r="M8" s="147"/>
      <c r="N8" s="147"/>
      <c r="O8" s="147"/>
      <c r="P8" s="21"/>
      <c r="Q8" s="23" t="str">
        <f>IF(Karakterlap!$Y$3&gt;6,"Mf","Af")</f>
        <v>Af</v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tr">
        <f>IF(Karakterlap!$Y$3&gt;2,"időjóslás","")</f>
        <v/>
      </c>
      <c r="K9" s="147"/>
      <c r="L9" s="147"/>
      <c r="M9" s="147"/>
      <c r="N9" s="147"/>
      <c r="O9" s="147"/>
      <c r="P9" s="21"/>
      <c r="Q9" s="23" t="str">
        <f>IF(Karakterlap!$Y$3&lt;3,"",IF(Karakterlap!$Y$3&gt;5,"Mf","Af"))</f>
        <v/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341" t="str">
        <f>IF(Karakterlap!$Y$3&gt;3,"alkímia","")</f>
        <v/>
      </c>
      <c r="K10" s="342"/>
      <c r="L10" s="342"/>
      <c r="M10" s="342"/>
      <c r="N10" s="342"/>
      <c r="O10" s="168"/>
      <c r="P10" s="21"/>
      <c r="Q10" s="23" t="str">
        <f>IF(Karakterlap!$Y$3&gt;3,"Af","")</f>
        <v/>
      </c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341"/>
      <c r="K11" s="342"/>
      <c r="L11" s="342"/>
      <c r="M11" s="342"/>
      <c r="N11" s="342"/>
      <c r="O11" s="168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">
        <v>760</v>
      </c>
      <c r="B12" s="147"/>
      <c r="C12" s="147"/>
      <c r="D12" s="147"/>
      <c r="E12" s="147"/>
      <c r="F12" s="147"/>
      <c r="G12" s="21"/>
      <c r="H12" s="147" t="str">
        <f>IF(Karakterlap!$Y$3&gt;4,"Mf","Af")</f>
        <v>Af</v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0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839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tr">
        <f>IF(Karakterlap!$Y$3&gt;2,"fegyverdobás(tőr)","")</f>
        <v/>
      </c>
      <c r="B4" s="147"/>
      <c r="C4" s="147"/>
      <c r="D4" s="147"/>
      <c r="E4" s="147"/>
      <c r="F4" s="147"/>
      <c r="G4" s="21"/>
      <c r="H4" s="147" t="str">
        <f>IF(Karakterlap!$Y$3&gt;2,"Af","")</f>
        <v/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654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tr">
        <f>IF(Karakterlap!$Y$3&gt;4,"Mf","Af")</f>
        <v>Af</v>
      </c>
      <c r="R6" s="146" t="s">
        <v>665</v>
      </c>
      <c r="S6" s="147"/>
      <c r="T6" s="147"/>
      <c r="U6" s="147"/>
      <c r="V6" s="147"/>
      <c r="W6" s="147"/>
      <c r="X6" s="21"/>
      <c r="Y6" s="147" t="s">
        <v>642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827</v>
      </c>
      <c r="K7" s="147"/>
      <c r="L7" s="147"/>
      <c r="M7" s="147"/>
      <c r="N7" s="147"/>
      <c r="O7" s="147"/>
      <c r="P7" s="21"/>
      <c r="Q7" s="23" t="str">
        <f>IF(Karakterlap!$Y$3&gt;2,"Mf","Af")</f>
        <v>Af</v>
      </c>
      <c r="R7" s="146" t="s">
        <v>771</v>
      </c>
      <c r="S7" s="147"/>
      <c r="T7" s="147"/>
      <c r="U7" s="147"/>
      <c r="V7" s="147"/>
      <c r="W7" s="147"/>
      <c r="X7" s="21"/>
      <c r="Y7" s="159">
        <v>0.3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tr">
        <f>IF(Karakterlap!$Y$3&gt;2,"időjóslás","")</f>
        <v/>
      </c>
      <c r="K8" s="147"/>
      <c r="L8" s="147"/>
      <c r="M8" s="147"/>
      <c r="N8" s="147"/>
      <c r="O8" s="147"/>
      <c r="P8" s="21"/>
      <c r="Q8" s="23" t="str">
        <f>IF(Karakterlap!$Y$3&lt;3,"",IF(Karakterlap!$Y$3&gt;5,"Mf","Af"))</f>
        <v/>
      </c>
      <c r="R8" s="146" t="s">
        <v>771</v>
      </c>
      <c r="S8" s="147"/>
      <c r="T8" s="147"/>
      <c r="U8" s="147"/>
      <c r="V8" s="147"/>
      <c r="W8" s="147"/>
      <c r="X8" s="21"/>
      <c r="Y8" s="159">
        <v>0.3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tr">
        <f>IF(Karakterlap!$Y$3&gt;3,"alkímia","")</f>
        <v/>
      </c>
      <c r="K9" s="147"/>
      <c r="L9" s="147"/>
      <c r="M9" s="147"/>
      <c r="N9" s="147"/>
      <c r="O9" s="147"/>
      <c r="P9" s="21"/>
      <c r="Q9" s="23" t="str">
        <f>IF(Karakterlap!$Y$3&gt;3,"Af","")</f>
        <v/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">
        <v>760</v>
      </c>
      <c r="B12" s="147"/>
      <c r="C12" s="147"/>
      <c r="D12" s="147"/>
      <c r="E12" s="147"/>
      <c r="F12" s="147"/>
      <c r="G12" s="21"/>
      <c r="H12" s="147" t="str">
        <f>IF(Karakterlap!$Y$3&gt;4,"Mf","Af")</f>
        <v>Af</v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1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808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tr">
        <f>IF(Karakterlap!$Y$3&gt;4,"Mf","Af")</f>
        <v>Af</v>
      </c>
      <c r="R6" s="146" t="s">
        <v>771</v>
      </c>
      <c r="S6" s="147"/>
      <c r="T6" s="147"/>
      <c r="U6" s="147"/>
      <c r="V6" s="147"/>
      <c r="W6" s="147"/>
      <c r="X6" s="21"/>
      <c r="Y6" s="159">
        <v>0.3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827</v>
      </c>
      <c r="K7" s="147"/>
      <c r="L7" s="147"/>
      <c r="M7" s="147"/>
      <c r="N7" s="147"/>
      <c r="O7" s="147"/>
      <c r="P7" s="21"/>
      <c r="Q7" s="23" t="str">
        <f>IF(Karakterlap!$Y$3&gt;2,"Mf","Af")</f>
        <v>Af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647</v>
      </c>
      <c r="K8" s="147"/>
      <c r="L8" s="147"/>
      <c r="M8" s="147"/>
      <c r="N8" s="147"/>
      <c r="O8" s="147"/>
      <c r="P8" s="21"/>
      <c r="Q8" s="23" t="str">
        <f>IF(Karakterlap!$Y$3&gt;5,"Mf","Af")</f>
        <v>Af</v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662</v>
      </c>
      <c r="K9" s="147"/>
      <c r="L9" s="147"/>
      <c r="M9" s="147"/>
      <c r="N9" s="147"/>
      <c r="O9" s="147"/>
      <c r="P9" s="21"/>
      <c r="Q9" s="23" t="str">
        <f>IF(Karakterlap!$Y$3&gt;4,"Mf","Af")</f>
        <v>Af</v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2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827</v>
      </c>
      <c r="K7" s="147"/>
      <c r="L7" s="147"/>
      <c r="M7" s="147"/>
      <c r="N7" s="147"/>
      <c r="O7" s="147"/>
      <c r="P7" s="21"/>
      <c r="Q7" s="23" t="str">
        <f>IF(Karakterlap!$Y$3&gt;2,"Mf","Af")</f>
        <v>Af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830</v>
      </c>
      <c r="K8" s="147"/>
      <c r="L8" s="147"/>
      <c r="M8" s="147"/>
      <c r="N8" s="147"/>
      <c r="O8" s="147"/>
      <c r="P8" s="21"/>
      <c r="Q8" s="23" t="str">
        <f>IF(Karakterlap!$Y$3&gt;4,"Mf","Af")</f>
        <v>Af</v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">
        <v>768</v>
      </c>
      <c r="B12" s="147"/>
      <c r="C12" s="147"/>
      <c r="D12" s="147"/>
      <c r="E12" s="147"/>
      <c r="F12" s="147"/>
      <c r="G12" s="21"/>
      <c r="H12" s="147" t="str">
        <f>IF(Karakterlap!$Y$3&gt;4,"Mf","Af")</f>
        <v>Af</v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s">
        <v>765</v>
      </c>
      <c r="B13" s="147"/>
      <c r="C13" s="147"/>
      <c r="D13" s="147"/>
      <c r="E13" s="147"/>
      <c r="F13" s="147"/>
      <c r="G13" s="21"/>
      <c r="H13" s="147" t="str">
        <f>IF(Karakterlap!$Y$3&gt;5,"Mf","Af")</f>
        <v>Af</v>
      </c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3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4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>
        <v>3</v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652</v>
      </c>
      <c r="R5" s="146" t="s">
        <v>665</v>
      </c>
      <c r="S5" s="147"/>
      <c r="T5" s="147"/>
      <c r="U5" s="147"/>
      <c r="V5" s="147"/>
      <c r="W5" s="147"/>
      <c r="X5" s="21"/>
      <c r="Y5" s="147" t="str">
        <f>IF(Karakterlap!$Y$3&gt;5,"Mf","Af")</f>
        <v>Af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">
        <v>654</v>
      </c>
      <c r="S6" s="147"/>
      <c r="T6" s="147"/>
      <c r="U6" s="147"/>
      <c r="V6" s="147"/>
      <c r="W6" s="147"/>
      <c r="X6" s="21"/>
      <c r="Y6" s="147" t="str">
        <f>IF(Karakterlap!$Y$3&gt;4,"Mf","Af")</f>
        <v>Af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662</v>
      </c>
      <c r="K7" s="147"/>
      <c r="L7" s="147"/>
      <c r="M7" s="147"/>
      <c r="N7" s="147"/>
      <c r="O7" s="147"/>
      <c r="P7" s="21"/>
      <c r="Q7" s="23" t="s">
        <v>642</v>
      </c>
      <c r="R7" s="146" t="s">
        <v>666</v>
      </c>
      <c r="S7" s="147"/>
      <c r="T7" s="147"/>
      <c r="U7" s="147"/>
      <c r="V7" s="147"/>
      <c r="W7" s="147"/>
      <c r="X7" s="21"/>
      <c r="Y7" s="147" t="s">
        <v>642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664</v>
      </c>
      <c r="K8" s="147"/>
      <c r="L8" s="147"/>
      <c r="M8" s="147"/>
      <c r="N8" s="147"/>
      <c r="O8" s="147"/>
      <c r="P8" s="21"/>
      <c r="Q8" s="23" t="s">
        <v>652</v>
      </c>
      <c r="R8" s="146" t="str">
        <f>IF(Karakterlap!$Y$3&gt;1,"tánc","")</f>
        <v/>
      </c>
      <c r="S8" s="147"/>
      <c r="T8" s="147"/>
      <c r="U8" s="147"/>
      <c r="V8" s="147"/>
      <c r="W8" s="147"/>
      <c r="X8" s="21"/>
      <c r="Y8" s="147" t="str">
        <f>IF(Karakterlap!$Y$3&gt;1,"Af","")</f>
        <v/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831</v>
      </c>
      <c r="K9" s="147"/>
      <c r="L9" s="147"/>
      <c r="M9" s="147"/>
      <c r="N9" s="147"/>
      <c r="O9" s="147"/>
      <c r="P9" s="21"/>
      <c r="Q9" s="23" t="s">
        <v>642</v>
      </c>
      <c r="R9" s="146" t="str">
        <f>IF(Karakterlap!$Y$3&gt;3,"hangutánzás","")</f>
        <v/>
      </c>
      <c r="S9" s="147"/>
      <c r="T9" s="147"/>
      <c r="U9" s="147"/>
      <c r="V9" s="147"/>
      <c r="W9" s="147"/>
      <c r="X9" s="21"/>
      <c r="Y9" s="147" t="str">
        <f>IF(Karakterlap!$Y$3&gt;3,"Af","")</f>
        <v/>
      </c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">
        <v>647</v>
      </c>
      <c r="K10" s="147"/>
      <c r="L10" s="147"/>
      <c r="M10" s="147"/>
      <c r="N10" s="147"/>
      <c r="O10" s="147"/>
      <c r="P10" s="21"/>
      <c r="Q10" s="23" t="s">
        <v>642</v>
      </c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 t="s">
        <v>868</v>
      </c>
      <c r="AB11" s="147"/>
      <c r="AC11" s="147"/>
      <c r="AD11" s="147"/>
      <c r="AE11" s="147"/>
      <c r="AF11" s="147"/>
      <c r="AG11" s="147"/>
      <c r="AH11" s="21"/>
      <c r="AI11" s="147" t="s">
        <v>642</v>
      </c>
      <c r="AJ11" s="174"/>
    </row>
    <row r="12" spans="1:36" ht="16" thickBot="1" x14ac:dyDescent="0.25">
      <c r="A12" s="146" t="s">
        <v>760</v>
      </c>
      <c r="B12" s="147"/>
      <c r="C12" s="147"/>
      <c r="D12" s="147"/>
      <c r="E12" s="147"/>
      <c r="F12" s="147"/>
      <c r="G12" s="21"/>
      <c r="H12" s="147" t="str">
        <f>IF(Karakterlap!$Y$3&gt;6,"Mf","Af")</f>
        <v>Af</v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str">
        <f>IF(Karakterlap!$Y$3&gt;3,"hamisítás","")</f>
        <v/>
      </c>
      <c r="B13" s="147"/>
      <c r="C13" s="147"/>
      <c r="D13" s="147"/>
      <c r="E13" s="147"/>
      <c r="F13" s="147"/>
      <c r="G13" s="21"/>
      <c r="H13" s="147" t="str">
        <f>IF(Karakterlap!$Y$3&lt;4,"",IF(Karakterlap!$Y$3&gt;7,"Mf","Af"))</f>
        <v/>
      </c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4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710</v>
      </c>
      <c r="B3" s="147"/>
      <c r="C3" s="147"/>
      <c r="D3" s="147"/>
      <c r="E3" s="147"/>
      <c r="F3" s="147"/>
      <c r="G3" s="21"/>
      <c r="H3" s="147" t="str">
        <f>IF(Karakterlap!$Y$3&gt;5,"Mf","Af")</f>
        <v>Af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4</v>
      </c>
      <c r="AJ3" s="174"/>
    </row>
    <row r="4" spans="1:36" x14ac:dyDescent="0.2">
      <c r="A4" s="146" t="s">
        <v>656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652</v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831</v>
      </c>
      <c r="K7" s="147"/>
      <c r="L7" s="147"/>
      <c r="M7" s="147"/>
      <c r="N7" s="147"/>
      <c r="O7" s="147"/>
      <c r="P7" s="21"/>
      <c r="Q7" s="23" t="str">
        <f>IF(Karakterlap!$Y$3&gt;4,"Mf","Af")</f>
        <v>Af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tr">
        <f>IF(Karakterlap!$Y$3&gt;5,"legendaism.(kyr)","")</f>
        <v/>
      </c>
      <c r="K8" s="147"/>
      <c r="L8" s="147"/>
      <c r="M8" s="147"/>
      <c r="N8" s="147"/>
      <c r="O8" s="147"/>
      <c r="P8" s="21"/>
      <c r="Q8" s="23" t="str">
        <f>IF(Karakterlap!$Y$3&gt;5,"Af","")</f>
        <v/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 t="str">
        <f>IF(Karakterlap!$Y$3&gt;7,"Kyr","")</f>
        <v/>
      </c>
      <c r="AB11" s="147"/>
      <c r="AC11" s="147"/>
      <c r="AD11" s="147"/>
      <c r="AE11" s="147"/>
      <c r="AF11" s="147"/>
      <c r="AG11" s="147"/>
      <c r="AH11" s="21"/>
      <c r="AI11" s="147" t="str">
        <f>IF(Karakterlap!$Y$3&gt;7,"Af","")</f>
        <v/>
      </c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5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tr">
        <f>IF(Karakterlap!$Y$3&gt;3,"fegy.hasz.(áldozótőr)","")</f>
        <v/>
      </c>
      <c r="B3" s="147"/>
      <c r="C3" s="147"/>
      <c r="D3" s="147"/>
      <c r="E3" s="147"/>
      <c r="F3" s="147"/>
      <c r="G3" s="21"/>
      <c r="H3" s="147" t="str">
        <f>IF(Karakterlap!$Y$3&gt;3,"Mf","")</f>
        <v/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938</v>
      </c>
      <c r="S5" s="147"/>
      <c r="T5" s="147"/>
      <c r="U5" s="147"/>
      <c r="V5" s="147"/>
      <c r="W5" s="147"/>
      <c r="X5" s="21"/>
      <c r="Y5" s="147" t="str">
        <f>IF(Karakterlap!$Y$3&gt;3,"Mf","Af")</f>
        <v>Af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830</v>
      </c>
      <c r="K7" s="147"/>
      <c r="L7" s="147"/>
      <c r="M7" s="147"/>
      <c r="N7" s="147"/>
      <c r="O7" s="147"/>
      <c r="P7" s="21"/>
      <c r="Q7" s="23" t="str">
        <f>IF(Karakterlap!$Y$3&gt;6,"Mf","Af")</f>
        <v>Af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">
        <v>739</v>
      </c>
      <c r="B12" s="147"/>
      <c r="C12" s="147"/>
      <c r="D12" s="147"/>
      <c r="E12" s="147"/>
      <c r="F12" s="147"/>
      <c r="G12" s="21"/>
      <c r="H12" s="147" t="str">
        <f>IF(Karakterlap!$Y$3&gt;4,"Mf","Af")</f>
        <v>Af</v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 t="s">
        <v>841</v>
      </c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 t="s">
        <v>842</v>
      </c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6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669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 t="s">
        <v>869</v>
      </c>
      <c r="AB3" s="147"/>
      <c r="AC3" s="147"/>
      <c r="AD3" s="147"/>
      <c r="AE3" s="147"/>
      <c r="AF3" s="147"/>
      <c r="AG3" s="147"/>
      <c r="AH3" s="21"/>
      <c r="AI3" s="147">
        <v>3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800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 t="s">
        <v>654</v>
      </c>
      <c r="S6" s="147"/>
      <c r="T6" s="147"/>
      <c r="U6" s="147"/>
      <c r="V6" s="147"/>
      <c r="W6" s="147"/>
      <c r="X6" s="21"/>
      <c r="Y6" s="147" t="s">
        <v>642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835</v>
      </c>
      <c r="K7" s="147"/>
      <c r="L7" s="147"/>
      <c r="M7" s="147"/>
      <c r="N7" s="147"/>
      <c r="O7" s="147"/>
      <c r="P7" s="21"/>
      <c r="Q7" s="23" t="s">
        <v>642</v>
      </c>
      <c r="R7" s="146" t="s">
        <v>836</v>
      </c>
      <c r="S7" s="147"/>
      <c r="T7" s="147"/>
      <c r="U7" s="147"/>
      <c r="V7" s="147"/>
      <c r="W7" s="147"/>
      <c r="X7" s="21"/>
      <c r="Y7" s="147" t="s">
        <v>642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705</v>
      </c>
      <c r="K8" s="147"/>
      <c r="L8" s="147"/>
      <c r="M8" s="147"/>
      <c r="N8" s="147"/>
      <c r="O8" s="147"/>
      <c r="P8" s="21"/>
      <c r="Q8" s="23" t="s">
        <v>642</v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tr">
        <f>IF(Karakterlap!$Y$3&gt;1,"heraldika (dwoon)","")</f>
        <v/>
      </c>
      <c r="K9" s="147"/>
      <c r="L9" s="147"/>
      <c r="M9" s="147"/>
      <c r="N9" s="147"/>
      <c r="O9" s="147"/>
      <c r="P9" s="21"/>
      <c r="Q9" s="23" t="str">
        <f>IF(Karakterlap!$Y$3&gt;1,"Af","")</f>
        <v/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tr">
        <f>IF(Karakterlap!$Y$3&gt;2,"jog","")</f>
        <v/>
      </c>
      <c r="K10" s="147"/>
      <c r="L10" s="147"/>
      <c r="M10" s="147"/>
      <c r="N10" s="147"/>
      <c r="O10" s="147"/>
      <c r="P10" s="21"/>
      <c r="Q10" s="23" t="str">
        <f>IF(Karakterlap!$Y$3&gt;2,"Af","")</f>
        <v/>
      </c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 t="str">
        <f>IF(Karakterlap!$Y$3&gt;2,"építészet","")</f>
        <v/>
      </c>
      <c r="K11" s="147"/>
      <c r="L11" s="147"/>
      <c r="M11" s="147"/>
      <c r="N11" s="147"/>
      <c r="O11" s="147"/>
      <c r="P11" s="21"/>
      <c r="Q11" s="23" t="str">
        <f>IF(Karakterlap!$Y$3&gt;2,"Af","")</f>
        <v/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 t="str">
        <f>IF(Karakterlap!$Y$3&gt;3,"Ódwoon","")</f>
        <v/>
      </c>
      <c r="AB11" s="147"/>
      <c r="AC11" s="147"/>
      <c r="AD11" s="147"/>
      <c r="AE11" s="147"/>
      <c r="AF11" s="147"/>
      <c r="AG11" s="147"/>
      <c r="AH11" s="21"/>
      <c r="AI11" s="147" t="str">
        <f>IF(Karakterlap!$Y$3&gt;3,"Af","")</f>
        <v/>
      </c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7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846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847</v>
      </c>
      <c r="K2" s="147"/>
      <c r="L2" s="147"/>
      <c r="M2" s="147"/>
      <c r="N2" s="147"/>
      <c r="O2" s="147"/>
      <c r="P2" s="21"/>
      <c r="Q2" s="23" t="s">
        <v>642</v>
      </c>
      <c r="R2" s="146" t="s">
        <v>645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669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705</v>
      </c>
      <c r="K3" s="147"/>
      <c r="L3" s="147"/>
      <c r="M3" s="147"/>
      <c r="N3" s="147"/>
      <c r="O3" s="147"/>
      <c r="P3" s="21"/>
      <c r="Q3" s="23" t="s">
        <v>642</v>
      </c>
      <c r="R3" s="146" t="s">
        <v>772</v>
      </c>
      <c r="S3" s="147"/>
      <c r="T3" s="147"/>
      <c r="U3" s="147"/>
      <c r="V3" s="147"/>
      <c r="W3" s="147"/>
      <c r="X3" s="21"/>
      <c r="Y3" s="159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670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646</v>
      </c>
      <c r="K4" s="147"/>
      <c r="L4" s="147"/>
      <c r="M4" s="147"/>
      <c r="N4" s="147"/>
      <c r="O4" s="147"/>
      <c r="P4" s="21"/>
      <c r="Q4" s="23" t="s">
        <v>652</v>
      </c>
      <c r="R4" s="146" t="s">
        <v>808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848</v>
      </c>
      <c r="K5" s="342"/>
      <c r="L5" s="342"/>
      <c r="M5" s="342"/>
      <c r="N5" s="342"/>
      <c r="O5" s="168"/>
      <c r="P5" s="21"/>
      <c r="Q5" s="23" t="s">
        <v>652</v>
      </c>
      <c r="R5" s="146" t="s">
        <v>771</v>
      </c>
      <c r="S5" s="147"/>
      <c r="T5" s="147"/>
      <c r="U5" s="147"/>
      <c r="V5" s="147"/>
      <c r="W5" s="147"/>
      <c r="X5" s="21"/>
      <c r="Y5" s="159">
        <v>0.6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647</v>
      </c>
      <c r="K6" s="147"/>
      <c r="L6" s="147"/>
      <c r="M6" s="147"/>
      <c r="N6" s="147"/>
      <c r="O6" s="147"/>
      <c r="P6" s="21"/>
      <c r="Q6" s="23" t="s">
        <v>652</v>
      </c>
      <c r="R6" s="146" t="s">
        <v>725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 t="s">
        <v>644</v>
      </c>
      <c r="S7" s="147"/>
      <c r="T7" s="147"/>
      <c r="U7" s="147"/>
      <c r="V7" s="147"/>
      <c r="W7" s="147"/>
      <c r="X7" s="21"/>
      <c r="Y7" s="147" t="s">
        <v>642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 t="s">
        <v>709</v>
      </c>
      <c r="S8" s="147"/>
      <c r="T8" s="147"/>
      <c r="U8" s="147"/>
      <c r="V8" s="147"/>
      <c r="W8" s="147"/>
      <c r="X8" s="21"/>
      <c r="Y8" s="147" t="s">
        <v>642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8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846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847</v>
      </c>
      <c r="K2" s="147"/>
      <c r="L2" s="147"/>
      <c r="M2" s="147"/>
      <c r="N2" s="147"/>
      <c r="O2" s="147"/>
      <c r="P2" s="21"/>
      <c r="Q2" s="23" t="s">
        <v>642</v>
      </c>
      <c r="R2" s="146" t="s">
        <v>645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669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705</v>
      </c>
      <c r="K3" s="147"/>
      <c r="L3" s="147"/>
      <c r="M3" s="147"/>
      <c r="N3" s="147"/>
      <c r="O3" s="147"/>
      <c r="P3" s="21"/>
      <c r="Q3" s="23" t="s">
        <v>642</v>
      </c>
      <c r="R3" s="146" t="s">
        <v>772</v>
      </c>
      <c r="S3" s="147"/>
      <c r="T3" s="147"/>
      <c r="U3" s="147"/>
      <c r="V3" s="147"/>
      <c r="W3" s="147"/>
      <c r="X3" s="21"/>
      <c r="Y3" s="159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670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646</v>
      </c>
      <c r="K4" s="147"/>
      <c r="L4" s="147"/>
      <c r="M4" s="147"/>
      <c r="N4" s="147"/>
      <c r="O4" s="147"/>
      <c r="P4" s="21"/>
      <c r="Q4" s="23" t="s">
        <v>652</v>
      </c>
      <c r="R4" s="146" t="s">
        <v>808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848</v>
      </c>
      <c r="K5" s="342"/>
      <c r="L5" s="342"/>
      <c r="M5" s="342"/>
      <c r="N5" s="342"/>
      <c r="O5" s="168"/>
      <c r="P5" s="21"/>
      <c r="Q5" s="23" t="s">
        <v>652</v>
      </c>
      <c r="R5" s="146" t="s">
        <v>771</v>
      </c>
      <c r="S5" s="147"/>
      <c r="T5" s="147"/>
      <c r="U5" s="147"/>
      <c r="V5" s="147"/>
      <c r="W5" s="147"/>
      <c r="X5" s="21"/>
      <c r="Y5" s="159">
        <v>0.6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647</v>
      </c>
      <c r="K6" s="147"/>
      <c r="L6" s="147"/>
      <c r="M6" s="147"/>
      <c r="N6" s="147"/>
      <c r="O6" s="147"/>
      <c r="P6" s="21"/>
      <c r="Q6" s="23" t="s">
        <v>652</v>
      </c>
      <c r="R6" s="146" t="s">
        <v>651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 t="s">
        <v>650</v>
      </c>
      <c r="S7" s="147"/>
      <c r="T7" s="147"/>
      <c r="U7" s="147"/>
      <c r="V7" s="147"/>
      <c r="W7" s="147"/>
      <c r="X7" s="21"/>
      <c r="Y7" s="147" t="s">
        <v>642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 t="s">
        <v>849</v>
      </c>
      <c r="S8" s="147"/>
      <c r="T8" s="147"/>
      <c r="U8" s="147"/>
      <c r="V8" s="147"/>
      <c r="W8" s="147"/>
      <c r="X8" s="21"/>
      <c r="Y8" s="147" t="s">
        <v>642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641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646</v>
      </c>
      <c r="K2" s="147"/>
      <c r="L2" s="147"/>
      <c r="M2" s="147"/>
      <c r="N2" s="147"/>
      <c r="O2" s="147"/>
      <c r="P2" s="21"/>
      <c r="Q2" s="23" t="s">
        <v>642</v>
      </c>
      <c r="R2" s="146" t="s">
        <v>645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669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/>
      <c r="K3" s="147"/>
      <c r="L3" s="147"/>
      <c r="M3" s="147"/>
      <c r="N3" s="147"/>
      <c r="O3" s="147"/>
      <c r="P3" s="21"/>
      <c r="Q3" s="23"/>
      <c r="R3" s="146" t="s">
        <v>651</v>
      </c>
      <c r="S3" s="147"/>
      <c r="T3" s="147"/>
      <c r="U3" s="147"/>
      <c r="V3" s="147"/>
      <c r="W3" s="147"/>
      <c r="X3" s="21"/>
      <c r="Y3" s="147" t="s">
        <v>652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670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653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671</v>
      </c>
      <c r="B5" s="147"/>
      <c r="C5" s="147"/>
      <c r="D5" s="147"/>
      <c r="E5" s="147"/>
      <c r="F5" s="147"/>
      <c r="G5" s="21"/>
      <c r="H5" s="147" t="s">
        <v>642</v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9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846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847</v>
      </c>
      <c r="K2" s="147"/>
      <c r="L2" s="147"/>
      <c r="M2" s="147"/>
      <c r="N2" s="147"/>
      <c r="O2" s="147"/>
      <c r="P2" s="21"/>
      <c r="Q2" s="23" t="s">
        <v>642</v>
      </c>
      <c r="R2" s="146" t="s">
        <v>645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669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705</v>
      </c>
      <c r="K3" s="147"/>
      <c r="L3" s="147"/>
      <c r="M3" s="147"/>
      <c r="N3" s="147"/>
      <c r="O3" s="147"/>
      <c r="P3" s="21"/>
      <c r="Q3" s="23" t="s">
        <v>642</v>
      </c>
      <c r="R3" s="146" t="s">
        <v>772</v>
      </c>
      <c r="S3" s="147"/>
      <c r="T3" s="147"/>
      <c r="U3" s="147"/>
      <c r="V3" s="147"/>
      <c r="W3" s="147"/>
      <c r="X3" s="21"/>
      <c r="Y3" s="159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670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646</v>
      </c>
      <c r="K4" s="147"/>
      <c r="L4" s="147"/>
      <c r="M4" s="147"/>
      <c r="N4" s="147"/>
      <c r="O4" s="147"/>
      <c r="P4" s="21"/>
      <c r="Q4" s="23" t="s">
        <v>652</v>
      </c>
      <c r="R4" s="146" t="s">
        <v>808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848</v>
      </c>
      <c r="K5" s="342"/>
      <c r="L5" s="342"/>
      <c r="M5" s="342"/>
      <c r="N5" s="342"/>
      <c r="O5" s="168"/>
      <c r="P5" s="21"/>
      <c r="Q5" s="23" t="s">
        <v>652</v>
      </c>
      <c r="R5" s="146" t="s">
        <v>771</v>
      </c>
      <c r="S5" s="147"/>
      <c r="T5" s="147"/>
      <c r="U5" s="147"/>
      <c r="V5" s="147"/>
      <c r="W5" s="147"/>
      <c r="X5" s="21"/>
      <c r="Y5" s="159">
        <v>0.6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647</v>
      </c>
      <c r="K6" s="147"/>
      <c r="L6" s="147"/>
      <c r="M6" s="147"/>
      <c r="N6" s="147"/>
      <c r="O6" s="147"/>
      <c r="P6" s="21"/>
      <c r="Q6" s="23" t="s">
        <v>652</v>
      </c>
      <c r="R6" s="146" t="s">
        <v>850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 t="s">
        <v>653</v>
      </c>
      <c r="S7" s="147"/>
      <c r="T7" s="147"/>
      <c r="U7" s="147"/>
      <c r="V7" s="147"/>
      <c r="W7" s="147"/>
      <c r="X7" s="21"/>
      <c r="Y7" s="147" t="s">
        <v>642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80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669</v>
      </c>
      <c r="B3" s="147"/>
      <c r="C3" s="147"/>
      <c r="D3" s="147"/>
      <c r="E3" s="147"/>
      <c r="F3" s="147"/>
      <c r="G3" s="21"/>
      <c r="H3" s="147" t="str">
        <f>IF(Karakterlap!$Y$3&gt;6,"Mf","Af")</f>
        <v>Af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 t="str">
        <f>IF(Karakterlap!$Y$3&gt;2,"3","")</f>
        <v/>
      </c>
      <c r="AJ3" s="174"/>
    </row>
    <row r="4" spans="1:36" x14ac:dyDescent="0.2">
      <c r="A4" s="146" t="str">
        <f>IF(Karakterlap!$Y$3&gt;2,"fegyverdobás","")</f>
        <v/>
      </c>
      <c r="B4" s="147"/>
      <c r="C4" s="147"/>
      <c r="D4" s="147"/>
      <c r="E4" s="147"/>
      <c r="F4" s="147"/>
      <c r="G4" s="21"/>
      <c r="H4" s="147" t="str">
        <f>IF(Karakterlap!$Y$3&gt;2,"Af","")</f>
        <v/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771</v>
      </c>
      <c r="S5" s="147"/>
      <c r="T5" s="147"/>
      <c r="U5" s="147"/>
      <c r="V5" s="147"/>
      <c r="W5" s="147"/>
      <c r="X5" s="21"/>
      <c r="Y5" s="159">
        <v>0.3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tr">
        <f>IF(Karakterlap!$Y$3&gt;5,"Mf","Af")</f>
        <v>Af</v>
      </c>
      <c r="R6" s="146" t="s">
        <v>771</v>
      </c>
      <c r="S6" s="147"/>
      <c r="T6" s="147"/>
      <c r="U6" s="147"/>
      <c r="V6" s="147"/>
      <c r="W6" s="147"/>
      <c r="X6" s="21"/>
      <c r="Y6" s="159">
        <v>0.3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712</v>
      </c>
      <c r="K7" s="147"/>
      <c r="L7" s="147"/>
      <c r="M7" s="147"/>
      <c r="N7" s="147"/>
      <c r="O7" s="147"/>
      <c r="P7" s="21"/>
      <c r="Q7" s="23" t="s">
        <v>642</v>
      </c>
      <c r="R7" s="146" t="str">
        <f>IF(Karakterlap!$Y$3&gt;1,"etikett","")</f>
        <v/>
      </c>
      <c r="S7" s="147"/>
      <c r="T7" s="147"/>
      <c r="U7" s="147"/>
      <c r="V7" s="147"/>
      <c r="W7" s="147"/>
      <c r="X7" s="21"/>
      <c r="Y7" s="147" t="str">
        <f>IF(Karakterlap!$Y$3&gt;1,"Af","")</f>
        <v/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">
        <v>760</v>
      </c>
      <c r="B12" s="147"/>
      <c r="C12" s="147"/>
      <c r="D12" s="147"/>
      <c r="E12" s="147"/>
      <c r="F12" s="147"/>
      <c r="G12" s="21"/>
      <c r="H12" s="147" t="str">
        <f>IF(Karakterlap!$Y$3&gt;4,"Mf","Af")</f>
        <v>Af</v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81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652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 t="s">
        <v>899</v>
      </c>
      <c r="AB3" s="147"/>
      <c r="AC3" s="147"/>
      <c r="AD3" s="147"/>
      <c r="AE3" s="147"/>
      <c r="AF3" s="147"/>
      <c r="AG3" s="147"/>
      <c r="AH3" s="21"/>
      <c r="AI3" s="147">
        <v>3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 t="str">
        <f>IF(Karakterlap!$Y$3&gt;1,"erv vagy dwoon","")</f>
        <v/>
      </c>
      <c r="AB4" s="147"/>
      <c r="AC4" s="147"/>
      <c r="AD4" s="147"/>
      <c r="AE4" s="147"/>
      <c r="AF4" s="147"/>
      <c r="AG4" s="147"/>
      <c r="AH4" s="21"/>
      <c r="AI4" s="147" t="str">
        <f>IF(Karakterlap!$Y$3&gt;1,"3","")</f>
        <v/>
      </c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tr">
        <f>IF(Karakterlap!$Y$3&gt;2,"Mf","Af")</f>
        <v>Af</v>
      </c>
      <c r="R5" s="146" t="s">
        <v>665</v>
      </c>
      <c r="S5" s="147"/>
      <c r="T5" s="147"/>
      <c r="U5" s="147"/>
      <c r="V5" s="147"/>
      <c r="W5" s="147"/>
      <c r="X5" s="21"/>
      <c r="Y5" s="147" t="str">
        <f>IF(Karakterlap!$Y$3&gt;2,"Mf","Af")</f>
        <v>Af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642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661</v>
      </c>
      <c r="K7" s="147"/>
      <c r="L7" s="147"/>
      <c r="M7" s="147"/>
      <c r="N7" s="147"/>
      <c r="O7" s="147"/>
      <c r="P7" s="21"/>
      <c r="Q7" s="23" t="str">
        <f>IF(Karakterlap!$Y$3&gt;3,"Mf","Af")</f>
        <v>Af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 t="s">
        <v>861</v>
      </c>
      <c r="AB11" s="147"/>
      <c r="AC11" s="147"/>
      <c r="AD11" s="147"/>
      <c r="AE11" s="147"/>
      <c r="AF11" s="147"/>
      <c r="AG11" s="147"/>
      <c r="AH11" s="21"/>
      <c r="AI11" s="147" t="str">
        <f>IF(Karakterlap!$Y$3&gt;5,"Mf","Af")</f>
        <v>Af</v>
      </c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82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tr">
        <f>IF(Karakterlap!$Y$3&gt;1,"Mf","Af")</f>
        <v>Af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 t="str">
        <f>IF(Karakterlap!$Y$3&gt;2,"kyr-toroni","")</f>
        <v/>
      </c>
      <c r="AB3" s="147"/>
      <c r="AC3" s="147"/>
      <c r="AD3" s="147"/>
      <c r="AE3" s="147"/>
      <c r="AF3" s="147"/>
      <c r="AG3" s="147"/>
      <c r="AH3" s="21"/>
      <c r="AI3" s="147" t="str">
        <f>IF(Karakterlap!$Y$3&gt;2,"3","")</f>
        <v/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901</v>
      </c>
      <c r="S5" s="147"/>
      <c r="T5" s="147"/>
      <c r="U5" s="147"/>
      <c r="V5" s="147"/>
      <c r="W5" s="147"/>
      <c r="X5" s="21"/>
      <c r="Y5" s="159">
        <v>0.3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">
        <v>652</v>
      </c>
      <c r="R6" s="146" t="s">
        <v>901</v>
      </c>
      <c r="S6" s="147"/>
      <c r="T6" s="147"/>
      <c r="U6" s="147"/>
      <c r="V6" s="147"/>
      <c r="W6" s="147"/>
      <c r="X6" s="21"/>
      <c r="Y6" s="159">
        <v>0.3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 t="s">
        <v>901</v>
      </c>
      <c r="S7" s="147"/>
      <c r="T7" s="147"/>
      <c r="U7" s="147"/>
      <c r="V7" s="147"/>
      <c r="W7" s="147"/>
      <c r="X7" s="21"/>
      <c r="Y7" s="159">
        <v>0.3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 t="s">
        <v>665</v>
      </c>
      <c r="S8" s="147"/>
      <c r="T8" s="147"/>
      <c r="U8" s="147"/>
      <c r="V8" s="147"/>
      <c r="W8" s="147"/>
      <c r="X8" s="21"/>
      <c r="Y8" s="147" t="s">
        <v>642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 t="str">
        <f>IF(Karakterlap!$Y$3&gt;2,"ének/zene","")</f>
        <v/>
      </c>
      <c r="S9" s="147"/>
      <c r="T9" s="147"/>
      <c r="U9" s="147"/>
      <c r="V9" s="147"/>
      <c r="W9" s="147"/>
      <c r="X9" s="21"/>
      <c r="Y9" s="147" t="str">
        <f>IF(Karakterlap!$Y$3&gt;2,"Af","")</f>
        <v/>
      </c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">
        <v>760</v>
      </c>
      <c r="B12" s="147"/>
      <c r="C12" s="147"/>
      <c r="D12" s="147"/>
      <c r="E12" s="147"/>
      <c r="F12" s="147"/>
      <c r="G12" s="21"/>
      <c r="H12" s="147" t="s">
        <v>642</v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str">
        <f>IF(Karakterlap!$Y$3&gt;3,"hátbaszúrás","")</f>
        <v/>
      </c>
      <c r="B13" s="147"/>
      <c r="C13" s="147"/>
      <c r="D13" s="147"/>
      <c r="E13" s="147"/>
      <c r="F13" s="147"/>
      <c r="G13" s="21"/>
      <c r="H13" s="147" t="str">
        <f>IF(Karakterlap!$Y$3&gt;3,"Af","")</f>
        <v/>
      </c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83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/>
      <c r="B3" s="147"/>
      <c r="C3" s="147"/>
      <c r="D3" s="147"/>
      <c r="E3" s="147"/>
      <c r="F3" s="147"/>
      <c r="G3" s="21"/>
      <c r="H3" s="147"/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652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 t="s">
        <v>899</v>
      </c>
      <c r="AB3" s="147"/>
      <c r="AC3" s="147"/>
      <c r="AD3" s="147"/>
      <c r="AE3" s="147"/>
      <c r="AF3" s="147"/>
      <c r="AG3" s="147"/>
      <c r="AH3" s="21"/>
      <c r="AI3" s="147">
        <v>3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665</v>
      </c>
      <c r="S5" s="147"/>
      <c r="T5" s="147"/>
      <c r="U5" s="147"/>
      <c r="V5" s="147"/>
      <c r="W5" s="147"/>
      <c r="X5" s="21"/>
      <c r="Y5" s="147" t="str">
        <f>IF(Karakterlap!$Y$3&gt;2,"Mf","Af")</f>
        <v>Af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tr">
        <f>IF(Karakterlap!$Y$3&gt;4,"Mf","Af")</f>
        <v>Af</v>
      </c>
      <c r="R6" s="146" t="s">
        <v>792</v>
      </c>
      <c r="S6" s="147"/>
      <c r="T6" s="147"/>
      <c r="U6" s="147"/>
      <c r="V6" s="147"/>
      <c r="W6" s="147"/>
      <c r="X6" s="21"/>
      <c r="Y6" s="147" t="str">
        <f>IF(Karakterlap!$Y$3&gt;6,"Mf","Af")</f>
        <v>Af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tr">
        <f>IF(Karakterlap!$Y$3&gt;1,"méregkeverés/seml.","")</f>
        <v/>
      </c>
      <c r="K7" s="147"/>
      <c r="L7" s="147"/>
      <c r="M7" s="147"/>
      <c r="N7" s="147"/>
      <c r="O7" s="147"/>
      <c r="P7" s="21"/>
      <c r="Q7" s="23" t="str">
        <f>IF(Karakterlap!$Y$3&gt;1,"Af","")</f>
        <v/>
      </c>
      <c r="R7" s="146" t="s">
        <v>654</v>
      </c>
      <c r="S7" s="147"/>
      <c r="T7" s="147"/>
      <c r="U7" s="147"/>
      <c r="V7" s="147"/>
      <c r="W7" s="147"/>
      <c r="X7" s="21"/>
      <c r="Y7" s="147" t="str">
        <f>IF(Karakterlap!$Y$3&gt;3,"Mf","Af")</f>
        <v>Af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 t="s">
        <v>800</v>
      </c>
      <c r="S8" s="147"/>
      <c r="T8" s="147"/>
      <c r="U8" s="147"/>
      <c r="V8" s="147"/>
      <c r="W8" s="147"/>
      <c r="X8" s="21"/>
      <c r="Y8" s="147" t="s">
        <v>642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 t="str">
        <f>IF(Karakterlap!$Y$3&gt;2,"kínzás","")</f>
        <v/>
      </c>
      <c r="S9" s="147"/>
      <c r="T9" s="147"/>
      <c r="U9" s="147"/>
      <c r="V9" s="147"/>
      <c r="W9" s="147"/>
      <c r="X9" s="21"/>
      <c r="Y9" s="147" t="str">
        <f>IF(Karakterlap!$Y$3&gt;2,"Af","")</f>
        <v/>
      </c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">
        <v>760</v>
      </c>
      <c r="B12" s="147"/>
      <c r="C12" s="147"/>
      <c r="D12" s="147"/>
      <c r="E12" s="147"/>
      <c r="F12" s="147"/>
      <c r="G12" s="21"/>
      <c r="H12" s="147" t="s">
        <v>642</v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str">
        <f>IF(Karakterlap!$Y$3&gt;3,"hátbaszúrás","")</f>
        <v/>
      </c>
      <c r="B13" s="147"/>
      <c r="C13" s="147"/>
      <c r="D13" s="147"/>
      <c r="E13" s="147"/>
      <c r="F13" s="147"/>
      <c r="G13" s="21"/>
      <c r="H13" s="147" t="str">
        <f>IF(Karakterlap!$Y$3&gt;3,"Af","")</f>
        <v/>
      </c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84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652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904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652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 t="s">
        <v>899</v>
      </c>
      <c r="AB3" s="147"/>
      <c r="AC3" s="147"/>
      <c r="AD3" s="147"/>
      <c r="AE3" s="147"/>
      <c r="AF3" s="147"/>
      <c r="AG3" s="147"/>
      <c r="AH3" s="21"/>
      <c r="AI3" s="147">
        <v>3</v>
      </c>
      <c r="AJ3" s="174"/>
    </row>
    <row r="4" spans="1:36" x14ac:dyDescent="0.2">
      <c r="A4" s="146"/>
      <c r="B4" s="147"/>
      <c r="C4" s="147"/>
      <c r="D4" s="147"/>
      <c r="E4" s="147"/>
      <c r="F4" s="147"/>
      <c r="G4" s="21"/>
      <c r="H4" s="147"/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665</v>
      </c>
      <c r="S5" s="147"/>
      <c r="T5" s="147"/>
      <c r="U5" s="147"/>
      <c r="V5" s="147"/>
      <c r="W5" s="147"/>
      <c r="X5" s="21"/>
      <c r="Y5" s="147" t="str">
        <f>IF(Karakterlap!$Y$3&gt;2,"Mf","Af")</f>
        <v>Af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774</v>
      </c>
      <c r="K6" s="147"/>
      <c r="L6" s="147"/>
      <c r="M6" s="147"/>
      <c r="N6" s="147"/>
      <c r="O6" s="147"/>
      <c r="P6" s="21"/>
      <c r="Q6" s="23" t="str">
        <f>IF(Karakterlap!$Y$3&gt;4,"Mf","Af")</f>
        <v>Af</v>
      </c>
      <c r="R6" s="146" t="s">
        <v>792</v>
      </c>
      <c r="S6" s="147"/>
      <c r="T6" s="147"/>
      <c r="U6" s="147"/>
      <c r="V6" s="147"/>
      <c r="W6" s="147"/>
      <c r="X6" s="21"/>
      <c r="Y6" s="147" t="str">
        <f>IF(Karakterlap!$Y$3&gt;6,"Mf","Af")</f>
        <v>Af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tr">
        <f>IF(Karakterlap!$Y$3&gt;1,"méregkeverés/seml.","")</f>
        <v/>
      </c>
      <c r="K7" s="147"/>
      <c r="L7" s="147"/>
      <c r="M7" s="147"/>
      <c r="N7" s="147"/>
      <c r="O7" s="147"/>
      <c r="P7" s="21"/>
      <c r="Q7" s="23" t="str">
        <f>IF(Karakterlap!$Y$3&gt;1,"Af","")</f>
        <v/>
      </c>
      <c r="R7" s="146" t="s">
        <v>654</v>
      </c>
      <c r="S7" s="147"/>
      <c r="T7" s="147"/>
      <c r="U7" s="147"/>
      <c r="V7" s="147"/>
      <c r="W7" s="147"/>
      <c r="X7" s="21"/>
      <c r="Y7" s="147" t="str">
        <f>IF(Karakterlap!$Y$3&gt;3,"Mf","Af")</f>
        <v>Af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 t="s">
        <v>800</v>
      </c>
      <c r="S8" s="147"/>
      <c r="T8" s="147"/>
      <c r="U8" s="147"/>
      <c r="V8" s="147"/>
      <c r="W8" s="147"/>
      <c r="X8" s="21"/>
      <c r="Y8" s="147" t="s">
        <v>642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 t="str">
        <f>IF(Karakterlap!$Y$3&gt;2,"kínzás","")</f>
        <v/>
      </c>
      <c r="S9" s="147"/>
      <c r="T9" s="147"/>
      <c r="U9" s="147"/>
      <c r="V9" s="147"/>
      <c r="W9" s="147"/>
      <c r="X9" s="21"/>
      <c r="Y9" s="147" t="str">
        <f>IF(Karakterlap!$Y$3&gt;2,"Af","")</f>
        <v/>
      </c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">
        <v>760</v>
      </c>
      <c r="B12" s="147"/>
      <c r="C12" s="147"/>
      <c r="D12" s="147"/>
      <c r="E12" s="147"/>
      <c r="F12" s="147"/>
      <c r="G12" s="21"/>
      <c r="H12" s="147" t="s">
        <v>642</v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str">
        <f>IF(Karakterlap!$Y$3&gt;3,"hátbaszúrás","")</f>
        <v/>
      </c>
      <c r="B13" s="147"/>
      <c r="C13" s="147"/>
      <c r="D13" s="147"/>
      <c r="E13" s="147"/>
      <c r="F13" s="147"/>
      <c r="G13" s="21"/>
      <c r="H13" s="147" t="str">
        <f>IF(Karakterlap!$Y$3&gt;3,"Af","")</f>
        <v/>
      </c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85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789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">
        <v>652</v>
      </c>
      <c r="R2" s="146" t="s">
        <v>764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710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/>
      <c r="S3" s="147"/>
      <c r="T3" s="147"/>
      <c r="U3" s="147"/>
      <c r="V3" s="147"/>
      <c r="W3" s="147"/>
      <c r="X3" s="21"/>
      <c r="Y3" s="147"/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4</v>
      </c>
      <c r="AJ3" s="174"/>
    </row>
    <row r="4" spans="1:36" x14ac:dyDescent="0.2">
      <c r="A4" s="146" t="s">
        <v>676</v>
      </c>
      <c r="B4" s="147"/>
      <c r="C4" s="147"/>
      <c r="D4" s="147"/>
      <c r="E4" s="147"/>
      <c r="F4" s="147"/>
      <c r="G4" s="21"/>
      <c r="H4" s="147" t="str">
        <f>IF(Karakterlap!$Y$3&gt;4,"Mf","Af")</f>
        <v>Af</v>
      </c>
      <c r="I4" s="174"/>
      <c r="J4" s="146" t="s">
        <v>913</v>
      </c>
      <c r="K4" s="147"/>
      <c r="L4" s="147"/>
      <c r="M4" s="147"/>
      <c r="N4" s="147"/>
      <c r="O4" s="147"/>
      <c r="P4" s="21"/>
      <c r="Q4" s="23" t="s">
        <v>652</v>
      </c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tr">
        <f>IF(Karakterlap!$Y$3&gt;1,"vakharc","")</f>
        <v/>
      </c>
      <c r="B5" s="147"/>
      <c r="C5" s="147"/>
      <c r="D5" s="147"/>
      <c r="E5" s="147"/>
      <c r="F5" s="147"/>
      <c r="G5" s="21"/>
      <c r="H5" s="147" t="str">
        <f>IF(Karakterlap!$Y$3&gt;1,"Af","")</f>
        <v/>
      </c>
      <c r="I5" s="174"/>
      <c r="J5" s="146" t="s">
        <v>914</v>
      </c>
      <c r="K5" s="147"/>
      <c r="L5" s="147"/>
      <c r="M5" s="147"/>
      <c r="N5" s="147"/>
      <c r="O5" s="147"/>
      <c r="P5" s="21"/>
      <c r="Q5" s="23" t="s">
        <v>652</v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915</v>
      </c>
      <c r="K6" s="147"/>
      <c r="L6" s="147"/>
      <c r="M6" s="147"/>
      <c r="N6" s="147"/>
      <c r="O6" s="147"/>
      <c r="P6" s="21"/>
      <c r="Q6" s="23" t="s">
        <v>642</v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711</v>
      </c>
      <c r="K7" s="147"/>
      <c r="L7" s="147"/>
      <c r="M7" s="147"/>
      <c r="N7" s="147"/>
      <c r="O7" s="147"/>
      <c r="P7" s="21"/>
      <c r="Q7" s="23" t="s">
        <v>652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916</v>
      </c>
      <c r="K8" s="147"/>
      <c r="L8" s="147"/>
      <c r="M8" s="147"/>
      <c r="N8" s="147"/>
      <c r="O8" s="147"/>
      <c r="P8" s="21"/>
      <c r="Q8" s="23" t="str">
        <f>IF(Karakterlap!$Y$3&gt;2,"Mf","Af")</f>
        <v>Af</v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">
        <v>712</v>
      </c>
      <c r="K9" s="147"/>
      <c r="L9" s="147"/>
      <c r="M9" s="147"/>
      <c r="N9" s="147"/>
      <c r="O9" s="147"/>
      <c r="P9" s="21"/>
      <c r="Q9" s="23" t="s">
        <v>652</v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86" enableFormatConditionsCalculation="0"/>
  <dimension ref="A1:AJ17"/>
  <sheetViews>
    <sheetView workbookViewId="0">
      <selection activeCell="A12" sqref="A12:I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905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659</v>
      </c>
      <c r="K2" s="147"/>
      <c r="L2" s="147"/>
      <c r="M2" s="147"/>
      <c r="N2" s="147"/>
      <c r="O2" s="147"/>
      <c r="P2" s="21"/>
      <c r="Q2" s="23" t="s">
        <v>642</v>
      </c>
      <c r="R2" s="146"/>
      <c r="S2" s="147"/>
      <c r="T2" s="147"/>
      <c r="U2" s="147"/>
      <c r="V2" s="147"/>
      <c r="W2" s="147"/>
      <c r="X2" s="21"/>
      <c r="Y2" s="147"/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669</v>
      </c>
      <c r="B3" s="147"/>
      <c r="C3" s="147"/>
      <c r="D3" s="147"/>
      <c r="E3" s="147"/>
      <c r="F3" s="147"/>
      <c r="G3" s="21"/>
      <c r="H3" s="147" t="str">
        <f>IF(Karakterlap!$Y$3&gt;5,"Mf","Af")</f>
        <v>Af</v>
      </c>
      <c r="I3" s="174"/>
      <c r="J3" s="146" t="s">
        <v>660</v>
      </c>
      <c r="K3" s="147"/>
      <c r="L3" s="147"/>
      <c r="M3" s="147"/>
      <c r="N3" s="147"/>
      <c r="O3" s="147"/>
      <c r="P3" s="21"/>
      <c r="Q3" s="23" t="s">
        <v>652</v>
      </c>
      <c r="R3" s="146"/>
      <c r="S3" s="147"/>
      <c r="T3" s="147"/>
      <c r="U3" s="147"/>
      <c r="V3" s="147"/>
      <c r="W3" s="147"/>
      <c r="X3" s="21"/>
      <c r="Y3" s="147"/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4</v>
      </c>
      <c r="AJ3" s="174"/>
    </row>
    <row r="4" spans="1:36" x14ac:dyDescent="0.2">
      <c r="A4" s="146" t="s">
        <v>676</v>
      </c>
      <c r="B4" s="147"/>
      <c r="C4" s="147"/>
      <c r="D4" s="147"/>
      <c r="E4" s="147"/>
      <c r="F4" s="147"/>
      <c r="G4" s="21"/>
      <c r="H4" s="147" t="str">
        <f>IF(Karakterlap!$Y$3&gt;4,"Mf","Af")</f>
        <v>Af</v>
      </c>
      <c r="I4" s="174"/>
      <c r="J4" s="146" t="s">
        <v>918</v>
      </c>
      <c r="K4" s="147"/>
      <c r="L4" s="147"/>
      <c r="M4" s="147"/>
      <c r="N4" s="147"/>
      <c r="O4" s="147"/>
      <c r="P4" s="21"/>
      <c r="Q4" s="23" t="s">
        <v>652</v>
      </c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655</v>
      </c>
      <c r="B5" s="147"/>
      <c r="C5" s="147"/>
      <c r="D5" s="147"/>
      <c r="E5" s="147"/>
      <c r="F5" s="147"/>
      <c r="G5" s="21"/>
      <c r="H5" s="147" t="s">
        <v>652</v>
      </c>
      <c r="I5" s="174"/>
      <c r="J5" s="146" t="s">
        <v>705</v>
      </c>
      <c r="K5" s="147"/>
      <c r="L5" s="147"/>
      <c r="M5" s="147"/>
      <c r="N5" s="147"/>
      <c r="O5" s="147"/>
      <c r="P5" s="21"/>
      <c r="Q5" s="23" t="str">
        <f>IF(Karakterlap!$Y$3&gt;4,"Mf","Af")</f>
        <v>Af</v>
      </c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tr">
        <f>IF(Karakterlap!$Y$3&gt;1,"vakharc","")</f>
        <v/>
      </c>
      <c r="B6" s="147"/>
      <c r="C6" s="147"/>
      <c r="D6" s="147"/>
      <c r="E6" s="147"/>
      <c r="F6" s="147"/>
      <c r="G6" s="21"/>
      <c r="H6" s="147" t="str">
        <f>IF(Karakterlap!$Y$3&lt;2,"",IF(Karakterlap!$Y$3&gt;6,"Mf","Af"))</f>
        <v/>
      </c>
      <c r="I6" s="174"/>
      <c r="J6" s="146" t="str">
        <f>IF(Karakterlap!$Y$3&gt;1,"legendaism.(törpe)","")</f>
        <v/>
      </c>
      <c r="K6" s="147"/>
      <c r="L6" s="147"/>
      <c r="M6" s="147"/>
      <c r="N6" s="147"/>
      <c r="O6" s="147"/>
      <c r="P6" s="21"/>
      <c r="Q6" s="23" t="str">
        <f>IF(Karakterlap!$Y$3&gt;1,"Af","")</f>
        <v/>
      </c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 t="str">
        <f>IF(Karakterlap!$Y$3&gt;2,"fegyverismeret","")</f>
        <v/>
      </c>
      <c r="B7" s="147"/>
      <c r="C7" s="147"/>
      <c r="D7" s="147"/>
      <c r="E7" s="147"/>
      <c r="F7" s="147"/>
      <c r="G7" s="21"/>
      <c r="H7" s="147" t="str">
        <f>IF(Karakterlap!$Y$3&lt;3,"",IF(Karakterlap!$Y$3&gt;7,"Mf","Af"))</f>
        <v/>
      </c>
      <c r="I7" s="174"/>
      <c r="J7" s="146" t="str">
        <f>IF(Karakterlap!$Y$3&gt;3,"történelemismeret","")</f>
        <v/>
      </c>
      <c r="K7" s="147"/>
      <c r="L7" s="147"/>
      <c r="M7" s="147"/>
      <c r="N7" s="147"/>
      <c r="O7" s="147"/>
      <c r="P7" s="21"/>
      <c r="Q7" s="23" t="str">
        <f>IF(Karakterlap!$Y$3&gt;3,"Af","")</f>
        <v/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 t="str">
        <f>IF(Karakterlap!$Y$3&gt;3,"fegyverhasználat","")</f>
        <v/>
      </c>
      <c r="B8" s="147"/>
      <c r="C8" s="147"/>
      <c r="D8" s="147"/>
      <c r="E8" s="147"/>
      <c r="F8" s="147"/>
      <c r="G8" s="21"/>
      <c r="H8" s="147" t="str">
        <f>IF(Karakterlap!$Y$3&gt;3,"Mf","")</f>
        <v/>
      </c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 t="str">
        <f>IF(Karakterlap!$Y$3&gt;3,"hadvezetés","")</f>
        <v/>
      </c>
      <c r="B9" s="147"/>
      <c r="C9" s="147"/>
      <c r="D9" s="147"/>
      <c r="E9" s="147"/>
      <c r="F9" s="147"/>
      <c r="G9" s="21"/>
      <c r="H9" s="147" t="str">
        <f>IF(Karakterlap!$Y$3&lt;4,"",IF(Karakterlap!$Y$3&gt;8,"Mf","Af"))</f>
        <v/>
      </c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/>
      <c r="K11" s="147"/>
      <c r="L11" s="147"/>
      <c r="M11" s="147"/>
      <c r="N11" s="147"/>
      <c r="O11" s="147"/>
      <c r="P11" s="21"/>
      <c r="Q11" s="23"/>
      <c r="R11" s="146" t="s">
        <v>135</v>
      </c>
      <c r="S11" s="147"/>
      <c r="T11" s="147"/>
      <c r="U11" s="147"/>
      <c r="V11" s="147"/>
      <c r="W11" s="147"/>
      <c r="X11" s="21" t="s">
        <v>136</v>
      </c>
      <c r="Y11" s="147" t="s">
        <v>137</v>
      </c>
      <c r="Z11" s="174"/>
      <c r="AA11" s="168" t="str">
        <f>IF(Karakterlap!$Y$3&gt;2,"híl (ó-törpe)","")</f>
        <v/>
      </c>
      <c r="AB11" s="147"/>
      <c r="AC11" s="147"/>
      <c r="AD11" s="147"/>
      <c r="AE11" s="147"/>
      <c r="AF11" s="147"/>
      <c r="AG11" s="147"/>
      <c r="AH11" s="21"/>
      <c r="AI11" s="147" t="str">
        <f>IF(Karakterlap!$Y$3&gt;2,"Af","")</f>
        <v/>
      </c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/>
      <c r="K13" s="147"/>
      <c r="L13" s="147"/>
      <c r="M13" s="147"/>
      <c r="N13" s="147"/>
      <c r="O13" s="147"/>
      <c r="P13" s="21"/>
      <c r="Q13" s="23"/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/>
      <c r="K14" s="147"/>
      <c r="L14" s="147"/>
      <c r="M14" s="147"/>
      <c r="N14" s="147"/>
      <c r="O14" s="147"/>
      <c r="P14" s="21"/>
      <c r="Q14" s="23"/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/>
      <c r="K15" s="147"/>
      <c r="L15" s="147"/>
      <c r="M15" s="147"/>
      <c r="N15" s="147"/>
      <c r="O15" s="147"/>
      <c r="P15" s="21"/>
      <c r="Q15" s="23"/>
      <c r="R15" s="146"/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/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87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642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677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676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687</v>
      </c>
      <c r="B5" s="147"/>
      <c r="C5" s="147"/>
      <c r="D5" s="147"/>
      <c r="E5" s="147"/>
      <c r="F5" s="147"/>
      <c r="G5" s="21"/>
      <c r="H5" s="147" t="s">
        <v>642</v>
      </c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665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661</v>
      </c>
      <c r="K6" s="147"/>
      <c r="L6" s="147"/>
      <c r="M6" s="147"/>
      <c r="N6" s="147"/>
      <c r="O6" s="147"/>
      <c r="P6" s="21"/>
      <c r="Q6" s="23" t="s">
        <v>642</v>
      </c>
      <c r="R6" s="146" t="s">
        <v>643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88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642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677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687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935</v>
      </c>
      <c r="B5" s="147"/>
      <c r="C5" s="147"/>
      <c r="D5" s="147"/>
      <c r="E5" s="147"/>
      <c r="F5" s="147"/>
      <c r="G5" s="21"/>
      <c r="H5" s="147" t="str">
        <f>IF(Karakterlap!$Y$3&gt;2,"Mf","Af")</f>
        <v>Af</v>
      </c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665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670</v>
      </c>
      <c r="B6" s="147"/>
      <c r="C6" s="147"/>
      <c r="D6" s="147"/>
      <c r="E6" s="147"/>
      <c r="F6" s="147"/>
      <c r="G6" s="21"/>
      <c r="H6" s="147" t="s">
        <v>642</v>
      </c>
      <c r="I6" s="174"/>
      <c r="J6" s="146" t="s">
        <v>661</v>
      </c>
      <c r="K6" s="147"/>
      <c r="L6" s="147"/>
      <c r="M6" s="147"/>
      <c r="N6" s="147"/>
      <c r="O6" s="147"/>
      <c r="P6" s="21"/>
      <c r="Q6" s="23" t="s">
        <v>642</v>
      </c>
      <c r="R6" s="146" t="s">
        <v>643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 t="str">
        <f>IF(Karakterlap!$Y$3&gt;1,"fegy.hasz.(kétkezes)","")</f>
        <v/>
      </c>
      <c r="B7" s="147"/>
      <c r="C7" s="147"/>
      <c r="D7" s="147"/>
      <c r="E7" s="147"/>
      <c r="F7" s="147"/>
      <c r="G7" s="21"/>
      <c r="H7" s="147" t="str">
        <f>IF(Karakterlap!$Y$3&gt;1,"Mf","")</f>
        <v/>
      </c>
      <c r="I7" s="174"/>
      <c r="J7" s="146" t="s">
        <v>830</v>
      </c>
      <c r="K7" s="147"/>
      <c r="L7" s="147"/>
      <c r="M7" s="147"/>
      <c r="N7" s="147"/>
      <c r="O7" s="147"/>
      <c r="P7" s="21"/>
      <c r="Q7" s="23" t="s">
        <v>642</v>
      </c>
      <c r="R7" s="146" t="s">
        <v>649</v>
      </c>
      <c r="S7" s="147"/>
      <c r="T7" s="147"/>
      <c r="U7" s="147"/>
      <c r="V7" s="147"/>
      <c r="W7" s="147"/>
      <c r="X7" s="21"/>
      <c r="Y7" s="147" t="s">
        <v>642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 t="s">
        <v>765</v>
      </c>
      <c r="K12" s="147"/>
      <c r="L12" s="147"/>
      <c r="M12" s="147"/>
      <c r="N12" s="147"/>
      <c r="O12" s="147"/>
      <c r="P12" s="21"/>
      <c r="Q12" s="23" t="str">
        <f>IF(Karakterlap!$Y$3&gt;2,"Mf","Af")</f>
        <v>Af</v>
      </c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 t="str">
        <f>IF(Karakterlap!$Y$3&gt;6,"hátbaszúrás","")</f>
        <v/>
      </c>
      <c r="K13" s="147"/>
      <c r="L13" s="147"/>
      <c r="M13" s="147"/>
      <c r="N13" s="147"/>
      <c r="O13" s="147"/>
      <c r="P13" s="21"/>
      <c r="Q13" s="23" t="str">
        <f>IF(Karakterlap!$Y$3&gt;6,"Mf","")</f>
        <v/>
      </c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8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674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/>
      <c r="K2" s="147"/>
      <c r="L2" s="147"/>
      <c r="M2" s="147"/>
      <c r="N2" s="147"/>
      <c r="O2" s="147"/>
      <c r="P2" s="21"/>
      <c r="Q2" s="23"/>
      <c r="R2" s="341" t="s">
        <v>644</v>
      </c>
      <c r="S2" s="342"/>
      <c r="T2" s="342"/>
      <c r="U2" s="342"/>
      <c r="V2" s="342"/>
      <c r="W2" s="168"/>
      <c r="X2" s="21"/>
      <c r="Y2" s="339" t="s">
        <v>642</v>
      </c>
      <c r="Z2" s="340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675</v>
      </c>
      <c r="B3" s="147"/>
      <c r="C3" s="147"/>
      <c r="D3" s="147"/>
      <c r="E3" s="147"/>
      <c r="F3" s="147"/>
      <c r="G3" s="21"/>
      <c r="H3" s="147" t="str">
        <f>IF(Karakterlap!Y$3&gt;2,"Mf","Af")</f>
        <v>Af</v>
      </c>
      <c r="I3" s="174"/>
      <c r="J3" s="146"/>
      <c r="K3" s="147"/>
      <c r="L3" s="147"/>
      <c r="M3" s="147"/>
      <c r="N3" s="147"/>
      <c r="O3" s="147"/>
      <c r="P3" s="21"/>
      <c r="Q3" s="23"/>
      <c r="R3" s="341" t="s">
        <v>645</v>
      </c>
      <c r="S3" s="342"/>
      <c r="T3" s="342"/>
      <c r="U3" s="342"/>
      <c r="V3" s="342"/>
      <c r="W3" s="168"/>
      <c r="X3" s="21"/>
      <c r="Y3" s="339" t="s">
        <v>642</v>
      </c>
      <c r="Z3" s="340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673</v>
      </c>
      <c r="B4" s="147"/>
      <c r="C4" s="147"/>
      <c r="D4" s="147"/>
      <c r="E4" s="147"/>
      <c r="F4" s="147"/>
      <c r="G4" s="21"/>
      <c r="H4" s="147" t="str">
        <f>IF(Karakterlap!Y$3&gt;5,"Mf","Af")</f>
        <v>Af</v>
      </c>
      <c r="I4" s="174"/>
      <c r="J4" s="146"/>
      <c r="K4" s="147"/>
      <c r="L4" s="147"/>
      <c r="M4" s="147"/>
      <c r="N4" s="147"/>
      <c r="O4" s="147"/>
      <c r="P4" s="21"/>
      <c r="Q4" s="23"/>
      <c r="R4" s="146"/>
      <c r="S4" s="147"/>
      <c r="T4" s="147"/>
      <c r="U4" s="147"/>
      <c r="V4" s="147"/>
      <c r="W4" s="147"/>
      <c r="X4" s="21"/>
      <c r="Y4" s="147"/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676</v>
      </c>
      <c r="B5" s="147"/>
      <c r="C5" s="147"/>
      <c r="D5" s="147"/>
      <c r="E5" s="147"/>
      <c r="F5" s="147"/>
      <c r="G5" s="21"/>
      <c r="H5" s="147" t="s">
        <v>652</v>
      </c>
      <c r="I5" s="174"/>
      <c r="J5" s="146"/>
      <c r="K5" s="147"/>
      <c r="L5" s="147"/>
      <c r="M5" s="147"/>
      <c r="N5" s="147"/>
      <c r="O5" s="147"/>
      <c r="P5" s="21"/>
      <c r="Q5" s="23"/>
      <c r="R5" s="146"/>
      <c r="S5" s="147"/>
      <c r="T5" s="147"/>
      <c r="U5" s="147"/>
      <c r="V5" s="147"/>
      <c r="W5" s="147"/>
      <c r="X5" s="21"/>
      <c r="Y5" s="147"/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677</v>
      </c>
      <c r="B6" s="147"/>
      <c r="C6" s="147"/>
      <c r="D6" s="147"/>
      <c r="E6" s="147"/>
      <c r="F6" s="147"/>
      <c r="G6" s="21"/>
      <c r="H6" s="147" t="s">
        <v>642</v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 t="s">
        <v>678</v>
      </c>
      <c r="B7" s="147"/>
      <c r="C7" s="147"/>
      <c r="D7" s="147"/>
      <c r="E7" s="147"/>
      <c r="F7" s="147"/>
      <c r="G7" s="21"/>
      <c r="H7" s="147" t="str">
        <f>IF(Karakterlap!Y$3&gt;3,"Mf","Af")</f>
        <v>Af</v>
      </c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 t="str">
        <f>IF(Karakterlap!Y3&gt;4,"hadvezetés","")</f>
        <v/>
      </c>
      <c r="B8" s="147"/>
      <c r="C8" s="147"/>
      <c r="D8" s="147"/>
      <c r="E8" s="147"/>
      <c r="F8" s="147"/>
      <c r="G8" s="21"/>
      <c r="H8" s="147" t="str">
        <f>IF(Karakterlap!Y3&gt;4,"Af","")</f>
        <v/>
      </c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89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922</v>
      </c>
      <c r="B2" s="147"/>
      <c r="C2" s="147"/>
      <c r="D2" s="147"/>
      <c r="E2" s="147"/>
      <c r="F2" s="147"/>
      <c r="G2" s="21"/>
      <c r="H2" s="147" t="str">
        <f>IF(Karakterlap!$Y$3&gt;2,"Mf","Af")</f>
        <v>Af</v>
      </c>
      <c r="I2" s="174"/>
      <c r="J2" s="146" t="s">
        <v>920</v>
      </c>
      <c r="K2" s="147"/>
      <c r="L2" s="147"/>
      <c r="M2" s="147"/>
      <c r="N2" s="147"/>
      <c r="O2" s="147"/>
      <c r="P2" s="21"/>
      <c r="Q2" s="23" t="s">
        <v>642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839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705</v>
      </c>
      <c r="K3" s="147"/>
      <c r="L3" s="147"/>
      <c r="M3" s="147"/>
      <c r="N3" s="147"/>
      <c r="O3" s="147"/>
      <c r="P3" s="21"/>
      <c r="Q3" s="23" t="str">
        <f>IF(Karakterlap!$Y$3&gt;4,"Mf","Af")</f>
        <v>Af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921</v>
      </c>
      <c r="B4" s="147"/>
      <c r="C4" s="147"/>
      <c r="D4" s="147"/>
      <c r="E4" s="147"/>
      <c r="F4" s="147"/>
      <c r="G4" s="21"/>
      <c r="H4" s="147" t="str">
        <f>IF(Karakterlap!$Y$3&gt;3,"Mf","Af")</f>
        <v>Af</v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/>
      <c r="B5" s="147"/>
      <c r="C5" s="147"/>
      <c r="D5" s="147"/>
      <c r="E5" s="147"/>
      <c r="F5" s="147"/>
      <c r="G5" s="21"/>
      <c r="H5" s="147"/>
      <c r="I5" s="174"/>
      <c r="J5" s="341"/>
      <c r="K5" s="342"/>
      <c r="L5" s="342"/>
      <c r="M5" s="342"/>
      <c r="N5" s="342"/>
      <c r="O5" s="168"/>
      <c r="P5" s="21"/>
      <c r="Q5" s="23"/>
      <c r="R5" s="146" t="s">
        <v>735</v>
      </c>
      <c r="S5" s="147"/>
      <c r="T5" s="147"/>
      <c r="U5" s="147"/>
      <c r="V5" s="147"/>
      <c r="W5" s="147"/>
      <c r="X5" s="21"/>
      <c r="Y5" s="147" t="s">
        <v>652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/>
      <c r="K6" s="147"/>
      <c r="L6" s="147"/>
      <c r="M6" s="147"/>
      <c r="N6" s="147"/>
      <c r="O6" s="147"/>
      <c r="P6" s="21"/>
      <c r="Q6" s="23"/>
      <c r="R6" s="146" t="s">
        <v>645</v>
      </c>
      <c r="S6" s="147"/>
      <c r="T6" s="147"/>
      <c r="U6" s="147"/>
      <c r="V6" s="147"/>
      <c r="W6" s="147"/>
      <c r="X6" s="21"/>
      <c r="Y6" s="147" t="s">
        <v>642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90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924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660</v>
      </c>
      <c r="K2" s="147"/>
      <c r="L2" s="147"/>
      <c r="M2" s="147"/>
      <c r="N2" s="147"/>
      <c r="O2" s="147"/>
      <c r="P2" s="21"/>
      <c r="Q2" s="23" t="s">
        <v>652</v>
      </c>
      <c r="R2" s="146" t="s">
        <v>926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 t="s">
        <v>883</v>
      </c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925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 t="s">
        <v>879</v>
      </c>
      <c r="AB3" s="147"/>
      <c r="AC3" s="147"/>
      <c r="AD3" s="147"/>
      <c r="AE3" s="147"/>
      <c r="AF3" s="147"/>
      <c r="AG3" s="147"/>
      <c r="AH3" s="21"/>
      <c r="AI3" s="147">
        <v>4</v>
      </c>
      <c r="AJ3" s="174"/>
    </row>
    <row r="4" spans="1:36" x14ac:dyDescent="0.2">
      <c r="A4" s="146" t="s">
        <v>906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928</v>
      </c>
      <c r="K4" s="147"/>
      <c r="L4" s="147"/>
      <c r="M4" s="147"/>
      <c r="N4" s="147"/>
      <c r="O4" s="147"/>
      <c r="P4" s="21"/>
      <c r="Q4" s="23" t="s">
        <v>642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 t="s">
        <v>927</v>
      </c>
      <c r="AB4" s="147"/>
      <c r="AC4" s="147"/>
      <c r="AD4" s="147"/>
      <c r="AE4" s="147"/>
      <c r="AF4" s="147"/>
      <c r="AG4" s="147"/>
      <c r="AH4" s="21"/>
      <c r="AI4" s="147">
        <v>3</v>
      </c>
      <c r="AJ4" s="174"/>
    </row>
    <row r="5" spans="1:36" x14ac:dyDescent="0.2">
      <c r="A5" s="146" t="str">
        <f>IF(Karakterlap!$Y$3&gt;4,"fegyverismeret","")</f>
        <v/>
      </c>
      <c r="B5" s="147"/>
      <c r="C5" s="147"/>
      <c r="D5" s="147"/>
      <c r="E5" s="147"/>
      <c r="F5" s="147"/>
      <c r="G5" s="21"/>
      <c r="H5" s="147" t="str">
        <f>IF(Karakterlap!$Y$3&gt;4,"Af","")</f>
        <v/>
      </c>
      <c r="I5" s="174"/>
      <c r="J5" s="341" t="s">
        <v>929</v>
      </c>
      <c r="K5" s="342"/>
      <c r="L5" s="342"/>
      <c r="M5" s="342"/>
      <c r="N5" s="342"/>
      <c r="O5" s="168"/>
      <c r="P5" s="21"/>
      <c r="Q5" s="23" t="str">
        <f>IF(Karakterlap!$Y$3&gt;3,"Mf","Af")</f>
        <v>Af</v>
      </c>
      <c r="R5" s="146" t="s">
        <v>643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661</v>
      </c>
      <c r="K6" s="147"/>
      <c r="L6" s="147"/>
      <c r="M6" s="147"/>
      <c r="N6" s="147"/>
      <c r="O6" s="147"/>
      <c r="P6" s="21"/>
      <c r="Q6" s="23" t="s">
        <v>642</v>
      </c>
      <c r="R6" s="146" t="str">
        <f>IF(Karakterlap!$Y$3&gt;1,"kínzás","")</f>
        <v/>
      </c>
      <c r="S6" s="147"/>
      <c r="T6" s="147"/>
      <c r="U6" s="147"/>
      <c r="V6" s="147"/>
      <c r="W6" s="147"/>
      <c r="X6" s="21"/>
      <c r="Y6" s="147" t="str">
        <f>IF(Karakterlap!$Y$3&gt;1,"Af","")</f>
        <v/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931</v>
      </c>
      <c r="K7" s="147"/>
      <c r="L7" s="147"/>
      <c r="M7" s="147"/>
      <c r="N7" s="147"/>
      <c r="O7" s="147"/>
      <c r="P7" s="21"/>
      <c r="Q7" s="23" t="str">
        <f>IF(Karakterlap!$Y$3&gt;4,"Mf","Af")</f>
        <v>Af</v>
      </c>
      <c r="R7" s="146" t="str">
        <f>IF(Karakterlap!$Y$3&gt;2,"nyomolv./eltüntetés","")</f>
        <v/>
      </c>
      <c r="S7" s="147"/>
      <c r="T7" s="147"/>
      <c r="U7" s="147"/>
      <c r="V7" s="147"/>
      <c r="W7" s="147"/>
      <c r="X7" s="21"/>
      <c r="Y7" s="147" t="str">
        <f>IF(Karakterlap!$Y$3&gt;2,"Af","")</f>
        <v/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tr">
        <f>IF(Karakterlap!$Y$3&gt;1,"legendaismeret","")</f>
        <v/>
      </c>
      <c r="K8" s="147"/>
      <c r="L8" s="147"/>
      <c r="M8" s="147"/>
      <c r="N8" s="147"/>
      <c r="O8" s="147"/>
      <c r="P8" s="21"/>
      <c r="Q8" s="23" t="str">
        <f>IF(Karakterlap!$Y$3&gt;1,"Af","")</f>
        <v/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tr">
        <f>IF(Karakterlap!$Y$3&gt;2,"herbalizmus","")</f>
        <v/>
      </c>
      <c r="K9" s="147"/>
      <c r="L9" s="147"/>
      <c r="M9" s="147"/>
      <c r="N9" s="147"/>
      <c r="O9" s="147"/>
      <c r="P9" s="21"/>
      <c r="Q9" s="23" t="str">
        <f>IF(Karakterlap!$Y$3&gt;2,"Af","")</f>
        <v/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tr">
        <f>IF(Karakterlap!$Y$3&gt;3,"méregsemlegesítés","")</f>
        <v/>
      </c>
      <c r="K10" s="147"/>
      <c r="L10" s="147"/>
      <c r="M10" s="147"/>
      <c r="N10" s="147"/>
      <c r="O10" s="147"/>
      <c r="P10" s="21"/>
      <c r="Q10" s="23" t="str">
        <f>IF(Karakterlap!$Y$3&gt;3,"Af","")</f>
        <v/>
      </c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 t="str">
        <f>IF(Karakterlap!$Y$3&gt;5,"élettan","")</f>
        <v/>
      </c>
      <c r="K11" s="147"/>
      <c r="L11" s="147"/>
      <c r="M11" s="147"/>
      <c r="N11" s="147"/>
      <c r="O11" s="147"/>
      <c r="P11" s="21"/>
      <c r="Q11" s="23" t="str">
        <f>IF(Karakterlap!$Y$3&gt;5,"Af","")</f>
        <v/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 t="s">
        <v>930</v>
      </c>
      <c r="AB11" s="147"/>
      <c r="AC11" s="147"/>
      <c r="AD11" s="147"/>
      <c r="AE11" s="147"/>
      <c r="AF11" s="147"/>
      <c r="AG11" s="147"/>
      <c r="AH11" s="21"/>
      <c r="AI11" s="147" t="s">
        <v>642</v>
      </c>
      <c r="AJ11" s="174"/>
    </row>
    <row r="12" spans="1:36" ht="16" thickBot="1" x14ac:dyDescent="0.25">
      <c r="A12" s="146" t="s">
        <v>760</v>
      </c>
      <c r="B12" s="147"/>
      <c r="C12" s="147"/>
      <c r="D12" s="147"/>
      <c r="E12" s="147"/>
      <c r="F12" s="147"/>
      <c r="G12" s="21"/>
      <c r="H12" s="147" t="str">
        <f>IF(Karakterlap!$Y$3&gt;3,"Mf","Af")</f>
        <v>Af</v>
      </c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91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642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677</v>
      </c>
      <c r="B3" s="147"/>
      <c r="C3" s="147"/>
      <c r="D3" s="147"/>
      <c r="E3" s="147"/>
      <c r="F3" s="147"/>
      <c r="G3" s="21"/>
      <c r="H3" s="147" t="str">
        <f>IF(Karakterlap!$Y$3&gt;6,"Mf","Af")</f>
        <v>Af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676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687</v>
      </c>
      <c r="B5" s="147"/>
      <c r="C5" s="147"/>
      <c r="D5" s="147"/>
      <c r="E5" s="147"/>
      <c r="F5" s="147"/>
      <c r="G5" s="21"/>
      <c r="H5" s="147" t="s">
        <v>642</v>
      </c>
      <c r="I5" s="174"/>
      <c r="J5" s="341" t="s">
        <v>663</v>
      </c>
      <c r="K5" s="342"/>
      <c r="L5" s="342"/>
      <c r="M5" s="342"/>
      <c r="N5" s="342"/>
      <c r="O5" s="168"/>
      <c r="P5" s="21"/>
      <c r="Q5" s="23" t="str">
        <f>IF(Karakterlap!$Y$3&gt;5,"Mf","Af")</f>
        <v>Af</v>
      </c>
      <c r="R5" s="146" t="s">
        <v>665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tr">
        <f>IF(Karakterlap!$Y$3&gt;1,"fegyvertörés","")</f>
        <v/>
      </c>
      <c r="B6" s="147"/>
      <c r="C6" s="147"/>
      <c r="D6" s="147"/>
      <c r="E6" s="147"/>
      <c r="F6" s="147"/>
      <c r="G6" s="21"/>
      <c r="H6" s="147" t="str">
        <f>IF(Karakterlap!$Y$3&gt;1,"Af","")</f>
        <v/>
      </c>
      <c r="I6" s="174"/>
      <c r="J6" s="146" t="s">
        <v>661</v>
      </c>
      <c r="K6" s="147"/>
      <c r="L6" s="147"/>
      <c r="M6" s="147"/>
      <c r="N6" s="147"/>
      <c r="O6" s="147"/>
      <c r="P6" s="21"/>
      <c r="Q6" s="23" t="s">
        <v>642</v>
      </c>
      <c r="R6" s="146" t="s">
        <v>643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662</v>
      </c>
      <c r="K7" s="147"/>
      <c r="L7" s="147"/>
      <c r="M7" s="147"/>
      <c r="N7" s="147"/>
      <c r="O7" s="147"/>
      <c r="P7" s="21"/>
      <c r="Q7" s="23" t="s">
        <v>642</v>
      </c>
      <c r="R7" s="146" t="s">
        <v>792</v>
      </c>
      <c r="S7" s="147"/>
      <c r="T7" s="147"/>
      <c r="U7" s="147"/>
      <c r="V7" s="147"/>
      <c r="W7" s="147"/>
      <c r="X7" s="21"/>
      <c r="Y7" s="147" t="s">
        <v>642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705</v>
      </c>
      <c r="K8" s="147"/>
      <c r="L8" s="147"/>
      <c r="M8" s="147"/>
      <c r="N8" s="147"/>
      <c r="O8" s="147"/>
      <c r="P8" s="21"/>
      <c r="Q8" s="23" t="s">
        <v>642</v>
      </c>
      <c r="R8" s="146" t="str">
        <f>IF(Karakterlap!$Y$3&gt;2,"tánc","")</f>
        <v/>
      </c>
      <c r="S8" s="147"/>
      <c r="T8" s="147"/>
      <c r="U8" s="147"/>
      <c r="V8" s="147"/>
      <c r="W8" s="147"/>
      <c r="X8" s="21"/>
      <c r="Y8" s="147" t="str">
        <f>IF(Karakterlap!$Y$3&gt;2,"Af","")</f>
        <v/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tr">
        <f>IF(Karakterlap!$Y$3&gt;1,"élettan","")</f>
        <v/>
      </c>
      <c r="K9" s="147"/>
      <c r="L9" s="147"/>
      <c r="M9" s="147"/>
      <c r="N9" s="147"/>
      <c r="O9" s="147"/>
      <c r="P9" s="21"/>
      <c r="Q9" s="23" t="str">
        <f>IF(Karakterlap!$Y$3&gt;1,"Af","")</f>
        <v/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/>
      <c r="S11" s="147"/>
      <c r="T11" s="147"/>
      <c r="U11" s="147"/>
      <c r="V11" s="147"/>
      <c r="W11" s="147"/>
      <c r="X11" s="21"/>
      <c r="Y11" s="147"/>
      <c r="Z11" s="174"/>
      <c r="AA11" s="168" t="s">
        <v>930</v>
      </c>
      <c r="AB11" s="147"/>
      <c r="AC11" s="147"/>
      <c r="AD11" s="147"/>
      <c r="AE11" s="147"/>
      <c r="AF11" s="147"/>
      <c r="AG11" s="147"/>
      <c r="AH11" s="21"/>
      <c r="AI11" s="147" t="str">
        <f>IF(Karakterlap!$Y$3&gt;3,"Mf","Af")</f>
        <v>Af</v>
      </c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92" enableFormatConditionsCalculation="0"/>
  <dimension ref="A1:AJ17"/>
  <sheetViews>
    <sheetView workbookViewId="0">
      <selection activeCell="A12" sqref="A12:I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642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677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676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687</v>
      </c>
      <c r="B5" s="147"/>
      <c r="C5" s="147"/>
      <c r="D5" s="147"/>
      <c r="E5" s="147"/>
      <c r="F5" s="147"/>
      <c r="G5" s="21"/>
      <c r="H5" s="147" t="str">
        <f>IF(Karakterlap!$Y$3&gt;2,"Mf","Af")</f>
        <v>Af</v>
      </c>
      <c r="I5" s="174"/>
      <c r="J5" s="341" t="s">
        <v>663</v>
      </c>
      <c r="K5" s="342"/>
      <c r="L5" s="342"/>
      <c r="M5" s="342"/>
      <c r="N5" s="342"/>
      <c r="O5" s="168"/>
      <c r="P5" s="21"/>
      <c r="Q5" s="23" t="str">
        <f>IF(Karakterlap!$Y$3&gt;3,"Mf","Af")</f>
        <v>Af</v>
      </c>
      <c r="R5" s="146" t="s">
        <v>665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658</v>
      </c>
      <c r="B6" s="147"/>
      <c r="C6" s="147"/>
      <c r="D6" s="147"/>
      <c r="E6" s="147"/>
      <c r="F6" s="147"/>
      <c r="G6" s="21"/>
      <c r="H6" s="147" t="s">
        <v>642</v>
      </c>
      <c r="I6" s="174"/>
      <c r="J6" s="146" t="s">
        <v>661</v>
      </c>
      <c r="K6" s="147"/>
      <c r="L6" s="147"/>
      <c r="M6" s="147"/>
      <c r="N6" s="147"/>
      <c r="O6" s="147"/>
      <c r="P6" s="21"/>
      <c r="Q6" s="23" t="s">
        <v>642</v>
      </c>
      <c r="R6" s="146" t="s">
        <v>643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 t="s">
        <v>671</v>
      </c>
      <c r="B7" s="147"/>
      <c r="C7" s="147"/>
      <c r="D7" s="147"/>
      <c r="E7" s="147"/>
      <c r="F7" s="147"/>
      <c r="G7" s="21"/>
      <c r="H7" s="147" t="s">
        <v>642</v>
      </c>
      <c r="I7" s="174"/>
      <c r="J7" s="146" t="s">
        <v>711</v>
      </c>
      <c r="K7" s="147"/>
      <c r="L7" s="147"/>
      <c r="M7" s="147"/>
      <c r="N7" s="147"/>
      <c r="O7" s="147"/>
      <c r="P7" s="21"/>
      <c r="Q7" s="23" t="s">
        <v>642</v>
      </c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 t="str">
        <f>IF(Karakterlap!$Y$3&gt;4,"fegyverhasználat","")</f>
        <v/>
      </c>
      <c r="B8" s="147"/>
      <c r="C8" s="147"/>
      <c r="D8" s="147"/>
      <c r="E8" s="147"/>
      <c r="F8" s="147"/>
      <c r="G8" s="21"/>
      <c r="H8" s="147" t="str">
        <f>IF(Karakterlap!$Y$3&gt;4,"Mf","")</f>
        <v/>
      </c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/>
      <c r="K11" s="147"/>
      <c r="L11" s="147"/>
      <c r="M11" s="147"/>
      <c r="N11" s="147"/>
      <c r="O11" s="147"/>
      <c r="P11" s="21"/>
      <c r="Q11" s="23"/>
      <c r="R11" s="146" t="s">
        <v>135</v>
      </c>
      <c r="S11" s="147"/>
      <c r="T11" s="147"/>
      <c r="U11" s="147"/>
      <c r="V11" s="147"/>
      <c r="W11" s="147"/>
      <c r="X11" s="21" t="s">
        <v>136</v>
      </c>
      <c r="Y11" s="147" t="s">
        <v>137</v>
      </c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/>
      <c r="K12" s="147"/>
      <c r="L12" s="147"/>
      <c r="M12" s="147"/>
      <c r="N12" s="147"/>
      <c r="O12" s="147"/>
      <c r="P12" s="21"/>
      <c r="Q12" s="23"/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/>
      <c r="K13" s="147"/>
      <c r="L13" s="147"/>
      <c r="M13" s="147"/>
      <c r="N13" s="147"/>
      <c r="O13" s="147"/>
      <c r="P13" s="21"/>
      <c r="Q13" s="23"/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/>
      <c r="K14" s="147"/>
      <c r="L14" s="147"/>
      <c r="M14" s="147"/>
      <c r="N14" s="147"/>
      <c r="O14" s="147"/>
      <c r="P14" s="21"/>
      <c r="Q14" s="23"/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/>
      <c r="K15" s="147"/>
      <c r="L15" s="147"/>
      <c r="M15" s="147"/>
      <c r="N15" s="147"/>
      <c r="O15" s="147"/>
      <c r="P15" s="21"/>
      <c r="Q15" s="23"/>
      <c r="R15" s="146"/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/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</mergeCells>
  <pageMargins left="0.7" right="0.7" top="0.75" bottom="0.75" header="0.3" footer="0.3"/>
  <legacy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93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642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677</v>
      </c>
      <c r="B3" s="147"/>
      <c r="C3" s="147"/>
      <c r="D3" s="147"/>
      <c r="E3" s="147"/>
      <c r="F3" s="147"/>
      <c r="G3" s="21"/>
      <c r="H3" s="147" t="str">
        <f>IF(Karakterlap!$Y$3&gt;4,"Mf","Af")</f>
        <v>Af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>
        <v>3</v>
      </c>
      <c r="AJ3" s="174"/>
    </row>
    <row r="4" spans="1:36" x14ac:dyDescent="0.2">
      <c r="A4" s="146" t="s">
        <v>676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>
        <v>2</v>
      </c>
      <c r="AJ4" s="174"/>
    </row>
    <row r="5" spans="1:36" x14ac:dyDescent="0.2">
      <c r="A5" s="146" t="s">
        <v>687</v>
      </c>
      <c r="B5" s="147"/>
      <c r="C5" s="147"/>
      <c r="D5" s="147"/>
      <c r="E5" s="147"/>
      <c r="F5" s="147"/>
      <c r="G5" s="21"/>
      <c r="H5" s="147" t="s">
        <v>642</v>
      </c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665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/>
      <c r="B6" s="147"/>
      <c r="C6" s="147"/>
      <c r="D6" s="147"/>
      <c r="E6" s="147"/>
      <c r="F6" s="147"/>
      <c r="G6" s="21"/>
      <c r="H6" s="147"/>
      <c r="I6" s="174"/>
      <c r="J6" s="146" t="s">
        <v>661</v>
      </c>
      <c r="K6" s="147"/>
      <c r="L6" s="147"/>
      <c r="M6" s="147"/>
      <c r="N6" s="147"/>
      <c r="O6" s="147"/>
      <c r="P6" s="21"/>
      <c r="Q6" s="23" t="s">
        <v>642</v>
      </c>
      <c r="R6" s="146" t="s">
        <v>643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662</v>
      </c>
      <c r="K7" s="147"/>
      <c r="L7" s="147"/>
      <c r="M7" s="147"/>
      <c r="N7" s="147"/>
      <c r="O7" s="147"/>
      <c r="P7" s="21"/>
      <c r="Q7" s="23" t="str">
        <f>IF(Karakterlap!$Y$3&gt;5,"Mf","Af")</f>
        <v>Af</v>
      </c>
      <c r="R7" s="146" t="s">
        <v>808</v>
      </c>
      <c r="S7" s="147"/>
      <c r="T7" s="147"/>
      <c r="U7" s="147"/>
      <c r="V7" s="147"/>
      <c r="W7" s="147"/>
      <c r="X7" s="21"/>
      <c r="Y7" s="147" t="s">
        <v>642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705</v>
      </c>
      <c r="K8" s="147"/>
      <c r="L8" s="147"/>
      <c r="M8" s="147"/>
      <c r="N8" s="147"/>
      <c r="O8" s="147"/>
      <c r="P8" s="21"/>
      <c r="Q8" s="23" t="str">
        <f>IF(Karakterlap!$Y$3&gt;4,"Mf","Af")</f>
        <v>Af</v>
      </c>
      <c r="R8" s="146" t="s">
        <v>771</v>
      </c>
      <c r="S8" s="147"/>
      <c r="T8" s="147"/>
      <c r="U8" s="147"/>
      <c r="V8" s="147"/>
      <c r="W8" s="147"/>
      <c r="X8" s="21"/>
      <c r="Y8" s="159">
        <v>0.3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tr">
        <f>IF(Karakterlap!$Y$3&gt;2,"herbalizmus","")</f>
        <v/>
      </c>
      <c r="K9" s="147"/>
      <c r="L9" s="147"/>
      <c r="M9" s="147"/>
      <c r="N9" s="147"/>
      <c r="O9" s="147"/>
      <c r="P9" s="21"/>
      <c r="Q9" s="23" t="str">
        <f>IF(Karakterlap!$Y$3&gt;2,"Af","")</f>
        <v/>
      </c>
      <c r="R9" s="146" t="s">
        <v>715</v>
      </c>
      <c r="S9" s="147"/>
      <c r="T9" s="147"/>
      <c r="U9" s="147"/>
      <c r="V9" s="147"/>
      <c r="W9" s="147"/>
      <c r="X9" s="21"/>
      <c r="Y9" s="147" t="s">
        <v>642</v>
      </c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tr">
        <f>IF(Karakterlap!$Y$3&gt;3,"térképészet","")</f>
        <v/>
      </c>
      <c r="K10" s="147"/>
      <c r="L10" s="147"/>
      <c r="M10" s="147"/>
      <c r="N10" s="147"/>
      <c r="O10" s="147"/>
      <c r="P10" s="21"/>
      <c r="Q10" s="23" t="str">
        <f>IF(Karakterlap!$Y$3&gt;3,"Af","")</f>
        <v/>
      </c>
      <c r="R10" s="146" t="s">
        <v>644</v>
      </c>
      <c r="S10" s="147"/>
      <c r="T10" s="147"/>
      <c r="U10" s="147"/>
      <c r="V10" s="147"/>
      <c r="W10" s="147"/>
      <c r="X10" s="21"/>
      <c r="Y10" s="147" t="s">
        <v>642</v>
      </c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/>
      <c r="K11" s="147"/>
      <c r="L11" s="147"/>
      <c r="M11" s="147"/>
      <c r="N11" s="147"/>
      <c r="O11" s="147"/>
      <c r="P11" s="21"/>
      <c r="Q11" s="23"/>
      <c r="R11" s="146" t="str">
        <f>IF(Karakterlap!$Y$3&gt;3,"értékbecslés","")</f>
        <v/>
      </c>
      <c r="S11" s="147"/>
      <c r="T11" s="147"/>
      <c r="U11" s="147"/>
      <c r="V11" s="147"/>
      <c r="W11" s="147"/>
      <c r="X11" s="21"/>
      <c r="Y11" s="147" t="str">
        <f>IF(Karakterlap!$Y$3&gt;3,"Af","")</f>
        <v/>
      </c>
      <c r="Z11" s="174"/>
      <c r="AA11" s="168"/>
      <c r="AB11" s="147"/>
      <c r="AC11" s="147"/>
      <c r="AD11" s="147"/>
      <c r="AE11" s="147"/>
      <c r="AF11" s="147"/>
      <c r="AG11" s="147"/>
      <c r="AH11" s="21"/>
      <c r="AI11" s="147" t="str">
        <f>IF(Karakterlap!$Y$3&gt;6,"Af","")</f>
        <v/>
      </c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94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907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tr">
        <f>IF(Karakterlap!$Y$3&gt;4,"Mf","")</f>
        <v/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677</v>
      </c>
      <c r="B3" s="147"/>
      <c r="C3" s="147"/>
      <c r="D3" s="147"/>
      <c r="E3" s="147"/>
      <c r="F3" s="147"/>
      <c r="G3" s="21"/>
      <c r="H3" s="147" t="str">
        <f>IF(Karakterlap!$Y$3&gt;9,"Mf","Af")</f>
        <v>Af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676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687</v>
      </c>
      <c r="B5" s="147"/>
      <c r="C5" s="147"/>
      <c r="D5" s="147"/>
      <c r="E5" s="147"/>
      <c r="F5" s="147"/>
      <c r="G5" s="21"/>
      <c r="H5" s="147" t="str">
        <f>IF(Karakterlap!$Y$3&gt;6,"Mf","")</f>
        <v/>
      </c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665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669</v>
      </c>
      <c r="B6" s="147"/>
      <c r="C6" s="147"/>
      <c r="D6" s="147"/>
      <c r="E6" s="147"/>
      <c r="F6" s="147"/>
      <c r="G6" s="21"/>
      <c r="H6" s="147" t="s">
        <v>642</v>
      </c>
      <c r="I6" s="174"/>
      <c r="J6" s="146" t="s">
        <v>661</v>
      </c>
      <c r="K6" s="147"/>
      <c r="L6" s="147"/>
      <c r="M6" s="147"/>
      <c r="N6" s="147"/>
      <c r="O6" s="147"/>
      <c r="P6" s="21"/>
      <c r="Q6" s="23" t="s">
        <v>642</v>
      </c>
      <c r="R6" s="146" t="s">
        <v>643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 t="s">
        <v>671</v>
      </c>
      <c r="B7" s="147"/>
      <c r="C7" s="147"/>
      <c r="D7" s="147"/>
      <c r="E7" s="147"/>
      <c r="F7" s="147"/>
      <c r="G7" s="21"/>
      <c r="H7" s="147" t="s">
        <v>642</v>
      </c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 t="s">
        <v>657</v>
      </c>
      <c r="B8" s="147"/>
      <c r="C8" s="147"/>
      <c r="D8" s="147"/>
      <c r="E8" s="147"/>
      <c r="F8" s="147"/>
      <c r="G8" s="21"/>
      <c r="H8" s="147" t="s">
        <v>642</v>
      </c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 t="s">
        <v>658</v>
      </c>
      <c r="B9" s="147"/>
      <c r="C9" s="147"/>
      <c r="D9" s="147"/>
      <c r="E9" s="147"/>
      <c r="F9" s="147"/>
      <c r="G9" s="21"/>
      <c r="H9" s="147" t="s">
        <v>642</v>
      </c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 t="str">
        <f>IF(Karakterlap!$Y$3&gt;4,"fegyverhasználat","")</f>
        <v/>
      </c>
      <c r="B10" s="147"/>
      <c r="C10" s="147"/>
      <c r="D10" s="147"/>
      <c r="E10" s="147"/>
      <c r="F10" s="147"/>
      <c r="G10" s="21"/>
      <c r="H10" s="147" t="str">
        <f>IF(Karakterlap!$Y$3&gt;4,"Mf","")</f>
        <v/>
      </c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tr">
        <f>IF(Karakterlap!$Y$3&gt;6,"pusztítás","")</f>
        <v/>
      </c>
      <c r="B11" s="147"/>
      <c r="C11" s="147"/>
      <c r="D11" s="147"/>
      <c r="E11" s="147"/>
      <c r="F11" s="147"/>
      <c r="G11" s="21"/>
      <c r="H11" s="147" t="str">
        <f>IF(Karakterlap!$Y$3&lt;7,"",IF(Karakterlap!$Y$3&gt;9,"Mf","Af"))</f>
        <v/>
      </c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95" enableFormatConditionsCalculation="0"/>
  <dimension ref="A1:AJ17"/>
  <sheetViews>
    <sheetView workbookViewId="0">
      <selection activeCell="A12" sqref="A12:I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642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677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676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687</v>
      </c>
      <c r="B5" s="147"/>
      <c r="C5" s="147"/>
      <c r="D5" s="147"/>
      <c r="E5" s="147"/>
      <c r="F5" s="147"/>
      <c r="G5" s="21"/>
      <c r="H5" s="147" t="s">
        <v>642</v>
      </c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665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658</v>
      </c>
      <c r="B6" s="147"/>
      <c r="C6" s="147"/>
      <c r="D6" s="147"/>
      <c r="E6" s="147"/>
      <c r="F6" s="147"/>
      <c r="G6" s="21"/>
      <c r="H6" s="147" t="s">
        <v>642</v>
      </c>
      <c r="I6" s="174"/>
      <c r="J6" s="146" t="s">
        <v>661</v>
      </c>
      <c r="K6" s="147"/>
      <c r="L6" s="147"/>
      <c r="M6" s="147"/>
      <c r="N6" s="147"/>
      <c r="O6" s="147"/>
      <c r="P6" s="21"/>
      <c r="Q6" s="23" t="s">
        <v>642</v>
      </c>
      <c r="R6" s="146" t="s">
        <v>643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 t="s">
        <v>710</v>
      </c>
      <c r="B7" s="147"/>
      <c r="C7" s="147"/>
      <c r="D7" s="147"/>
      <c r="E7" s="147"/>
      <c r="F7" s="147"/>
      <c r="G7" s="21"/>
      <c r="H7" s="147" t="s">
        <v>642</v>
      </c>
      <c r="I7" s="174"/>
      <c r="J7" s="146"/>
      <c r="K7" s="147"/>
      <c r="L7" s="147"/>
      <c r="M7" s="147"/>
      <c r="N7" s="147"/>
      <c r="O7" s="147"/>
      <c r="P7" s="21"/>
      <c r="Q7" s="23"/>
      <c r="R7" s="146" t="s">
        <v>938</v>
      </c>
      <c r="S7" s="147"/>
      <c r="T7" s="147"/>
      <c r="U7" s="147"/>
      <c r="V7" s="147"/>
      <c r="W7" s="147"/>
      <c r="X7" s="21"/>
      <c r="Y7" s="147" t="str">
        <f>IF(Karakterlap!$Y$3&gt;4,"Mf","Af")</f>
        <v>Af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 t="str">
        <f>IF(Karakterlap!$Y$3&gt;1,"fegyvertörés","")</f>
        <v/>
      </c>
      <c r="B8" s="147"/>
      <c r="C8" s="147"/>
      <c r="D8" s="147"/>
      <c r="E8" s="147"/>
      <c r="F8" s="147"/>
      <c r="G8" s="21"/>
      <c r="H8" s="147" t="str">
        <f>IF(Karakterlap!$Y$3&gt;1,"Af","")</f>
        <v/>
      </c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 t="str">
        <f>IF(Karakterlap!$Y$3&gt;3,"fegyverhasználat","")</f>
        <v/>
      </c>
      <c r="B9" s="147"/>
      <c r="C9" s="147"/>
      <c r="D9" s="147"/>
      <c r="E9" s="147"/>
      <c r="F9" s="147"/>
      <c r="G9" s="21"/>
      <c r="H9" s="147" t="str">
        <f>IF(Karakterlap!$Y$3&gt;3,"Mf","")</f>
        <v/>
      </c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 t="str">
        <f>IF(Karakterlap!$Y$3&gt;4,"kínokozás","")</f>
        <v/>
      </c>
      <c r="B10" s="147"/>
      <c r="C10" s="147"/>
      <c r="D10" s="147"/>
      <c r="E10" s="147"/>
      <c r="F10" s="147"/>
      <c r="G10" s="21"/>
      <c r="H10" s="147" t="str">
        <f>IF(Karakterlap!$Y$3&gt;4,"Af","")</f>
        <v/>
      </c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 t="str">
        <f>IF(Karakterlap!$V$7="Elf","Faji képzettségek",IF(Karakterlap!$V$7="Félelf","Faji képzettségek",IF(Karakterlap!$V$7="Khál","Faji képzettségek","")))</f>
        <v/>
      </c>
      <c r="B12" s="147"/>
      <c r="C12" s="147"/>
      <c r="D12" s="147"/>
      <c r="E12" s="147"/>
      <c r="F12" s="147"/>
      <c r="G12" s="21"/>
      <c r="H12" s="147" t="str">
        <f>IF(Karakterlap!$V$7="Elf","Fok",IF(Karakterlap!$V$7="Félelf","Fok",IF(Karakterlap!$V$7="Khál","Fok","")))</f>
        <v/>
      </c>
      <c r="I12" s="174"/>
      <c r="J12" s="146" t="s">
        <v>739</v>
      </c>
      <c r="K12" s="147"/>
      <c r="L12" s="147"/>
      <c r="M12" s="147"/>
      <c r="N12" s="147"/>
      <c r="O12" s="147"/>
      <c r="P12" s="21"/>
      <c r="Q12" s="23" t="s">
        <v>642</v>
      </c>
      <c r="R12" s="146"/>
      <c r="S12" s="147"/>
      <c r="T12" s="147"/>
      <c r="U12" s="147"/>
      <c r="V12" s="147"/>
      <c r="W12" s="147"/>
      <c r="X12" s="21"/>
      <c r="Y12" s="147"/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 t="e">
        <f>HLOOKUP(Karakterlap!$V$7,'Faji képzettségek'!$A:$H,2,FALSE)</f>
        <v>#N/A</v>
      </c>
      <c r="B13" s="147"/>
      <c r="C13" s="147"/>
      <c r="D13" s="147"/>
      <c r="E13" s="147"/>
      <c r="F13" s="147"/>
      <c r="G13" s="21"/>
      <c r="H13" s="147" t="e">
        <f>HLOOKUP(Karakterlap!$V$7&amp;"fok",'Faji képzettségek'!$A:$H,2,FALSE)</f>
        <v>#N/A</v>
      </c>
      <c r="I13" s="174"/>
      <c r="J13" s="146"/>
      <c r="K13" s="147"/>
      <c r="L13" s="147"/>
      <c r="M13" s="147"/>
      <c r="N13" s="147"/>
      <c r="O13" s="147"/>
      <c r="P13" s="21"/>
      <c r="Q13" s="23"/>
      <c r="R13" s="146"/>
      <c r="S13" s="147"/>
      <c r="T13" s="147"/>
      <c r="U13" s="147"/>
      <c r="V13" s="147"/>
      <c r="W13" s="147"/>
      <c r="X13" s="21"/>
      <c r="Y13" s="147"/>
      <c r="Z13" s="174"/>
    </row>
    <row r="14" spans="1:36" x14ac:dyDescent="0.2">
      <c r="A14" s="146" t="e">
        <f>HLOOKUP(Karakterlap!$V$7,'Faji képzettségek'!$A:$H,3,FALSE)</f>
        <v>#N/A</v>
      </c>
      <c r="B14" s="147"/>
      <c r="C14" s="147"/>
      <c r="D14" s="147"/>
      <c r="E14" s="147"/>
      <c r="F14" s="147"/>
      <c r="G14" s="21"/>
      <c r="H14" s="147" t="e">
        <f>HLOOKUP(Karakterlap!$V$7&amp;"fok",'Faji képzettségek'!$A:$H,3,FALSE)</f>
        <v>#N/A</v>
      </c>
      <c r="I14" s="174"/>
      <c r="J14" s="146"/>
      <c r="K14" s="147"/>
      <c r="L14" s="147"/>
      <c r="M14" s="147"/>
      <c r="N14" s="147"/>
      <c r="O14" s="147"/>
      <c r="P14" s="21"/>
      <c r="Q14" s="23"/>
      <c r="R14" s="146"/>
      <c r="S14" s="147"/>
      <c r="T14" s="147"/>
      <c r="U14" s="147"/>
      <c r="V14" s="147"/>
      <c r="W14" s="147"/>
      <c r="X14" s="21"/>
      <c r="Y14" s="147"/>
      <c r="Z14" s="174"/>
    </row>
    <row r="15" spans="1:36" x14ac:dyDescent="0.2">
      <c r="A15" s="146" t="e">
        <f>HLOOKUP(Karakterlap!$V$7,'Faji képzettségek'!$A:$H,4,FALSE)</f>
        <v>#N/A</v>
      </c>
      <c r="B15" s="147"/>
      <c r="C15" s="147"/>
      <c r="D15" s="147"/>
      <c r="E15" s="147"/>
      <c r="F15" s="147"/>
      <c r="G15" s="21"/>
      <c r="H15" s="147" t="e">
        <f>HLOOKUP(Karakterlap!$V$7&amp;"fok",'Faji képzettségek'!$A:$H,4,FALSE)</f>
        <v>#N/A</v>
      </c>
      <c r="I15" s="174"/>
      <c r="J15" s="146"/>
      <c r="K15" s="147"/>
      <c r="L15" s="147"/>
      <c r="M15" s="147"/>
      <c r="N15" s="147"/>
      <c r="O15" s="147"/>
      <c r="P15" s="21"/>
      <c r="Q15" s="23"/>
      <c r="R15" s="146" t="s">
        <v>939</v>
      </c>
      <c r="S15" s="147"/>
      <c r="T15" s="147"/>
      <c r="U15" s="147"/>
      <c r="V15" s="147"/>
      <c r="W15" s="147"/>
      <c r="X15" s="21"/>
      <c r="Y15" s="147"/>
      <c r="Z15" s="174"/>
    </row>
    <row r="16" spans="1:36" x14ac:dyDescent="0.2">
      <c r="A16" s="146" t="e">
        <f>HLOOKUP(Karakterlap!$V$7,'Faji képzettségek'!$A:$H,5,FALSE)</f>
        <v>#N/A</v>
      </c>
      <c r="B16" s="147"/>
      <c r="C16" s="147"/>
      <c r="D16" s="147"/>
      <c r="E16" s="147"/>
      <c r="F16" s="147"/>
      <c r="G16" s="21"/>
      <c r="H16" s="147" t="e">
        <f>HLOOKUP(Karakterlap!$V$7&amp;"fok",'Faji képzettségek'!$A:$H,5,FALSE)</f>
        <v>#N/A</v>
      </c>
      <c r="I16" s="174"/>
      <c r="J16" s="146"/>
      <c r="K16" s="147"/>
      <c r="L16" s="147"/>
      <c r="M16" s="147"/>
      <c r="N16" s="147"/>
      <c r="O16" s="147"/>
      <c r="P16" s="21"/>
      <c r="Q16" s="23"/>
      <c r="R16" s="146" t="s">
        <v>842</v>
      </c>
      <c r="S16" s="147"/>
      <c r="T16" s="147"/>
      <c r="U16" s="147"/>
      <c r="V16" s="147"/>
      <c r="W16" s="147"/>
      <c r="X16" s="21"/>
      <c r="Y16" s="147"/>
      <c r="Z16" s="174"/>
    </row>
    <row r="17" spans="1:26" ht="16" thickBot="1" x14ac:dyDescent="0.25">
      <c r="A17" s="173" t="e">
        <f>HLOOKUP(Karakterlap!$V$7,'Faji képzettségek'!$A:$H,6,FALSE)</f>
        <v>#N/A</v>
      </c>
      <c r="B17" s="161"/>
      <c r="C17" s="161"/>
      <c r="D17" s="161"/>
      <c r="E17" s="161"/>
      <c r="F17" s="161"/>
      <c r="G17" s="22"/>
      <c r="H17" s="161" t="e">
        <f>HLOOKUP(Karakterlap!$V$7&amp;"fok",'Faji képzettségek'!$A:$H,6,FALSE)</f>
        <v>#N/A</v>
      </c>
      <c r="I17" s="162"/>
      <c r="J17" s="173"/>
      <c r="K17" s="161"/>
      <c r="L17" s="161"/>
      <c r="M17" s="161"/>
      <c r="N17" s="161"/>
      <c r="O17" s="161"/>
      <c r="P17" s="22"/>
      <c r="Q17" s="24"/>
      <c r="R17" s="173"/>
      <c r="S17" s="161"/>
      <c r="T17" s="161"/>
      <c r="U17" s="161"/>
      <c r="V17" s="161"/>
      <c r="W17" s="161"/>
      <c r="X17" s="22"/>
      <c r="Y17" s="161"/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96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642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677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676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687</v>
      </c>
      <c r="B5" s="147"/>
      <c r="C5" s="147"/>
      <c r="D5" s="147"/>
      <c r="E5" s="147"/>
      <c r="F5" s="147"/>
      <c r="G5" s="21"/>
      <c r="H5" s="147" t="s">
        <v>642</v>
      </c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665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658</v>
      </c>
      <c r="B6" s="147"/>
      <c r="C6" s="147"/>
      <c r="D6" s="147"/>
      <c r="E6" s="147"/>
      <c r="F6" s="147"/>
      <c r="G6" s="21"/>
      <c r="H6" s="147" t="s">
        <v>642</v>
      </c>
      <c r="I6" s="174"/>
      <c r="J6" s="146" t="s">
        <v>661</v>
      </c>
      <c r="K6" s="147"/>
      <c r="L6" s="147"/>
      <c r="M6" s="147"/>
      <c r="N6" s="147"/>
      <c r="O6" s="147"/>
      <c r="P6" s="21"/>
      <c r="Q6" s="23" t="s">
        <v>642</v>
      </c>
      <c r="R6" s="146" t="s">
        <v>643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 t="s">
        <v>655</v>
      </c>
      <c r="B7" s="147"/>
      <c r="C7" s="147"/>
      <c r="D7" s="147"/>
      <c r="E7" s="147"/>
      <c r="F7" s="147"/>
      <c r="G7" s="21"/>
      <c r="H7" s="147" t="s">
        <v>642</v>
      </c>
      <c r="I7" s="174"/>
      <c r="J7" s="146" t="s">
        <v>941</v>
      </c>
      <c r="K7" s="147"/>
      <c r="L7" s="147"/>
      <c r="M7" s="147"/>
      <c r="N7" s="147"/>
      <c r="O7" s="147"/>
      <c r="P7" s="21"/>
      <c r="Q7" s="23" t="s">
        <v>642</v>
      </c>
      <c r="R7" s="146" t="s">
        <v>762</v>
      </c>
      <c r="S7" s="147"/>
      <c r="T7" s="147"/>
      <c r="U7" s="147"/>
      <c r="V7" s="147"/>
      <c r="W7" s="147"/>
      <c r="X7" s="21"/>
      <c r="Y7" s="147" t="s">
        <v>642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 t="str">
        <f>IF(Karakterlap!$Y$3&gt;4,"fegyverhasználat","")</f>
        <v/>
      </c>
      <c r="B8" s="147"/>
      <c r="C8" s="147"/>
      <c r="D8" s="147"/>
      <c r="E8" s="147"/>
      <c r="F8" s="147"/>
      <c r="G8" s="21"/>
      <c r="H8" s="147" t="str">
        <f>IF(Karakterlap!$Y$3&gt;4,"Mf","")</f>
        <v/>
      </c>
      <c r="I8" s="174"/>
      <c r="J8" s="146" t="str">
        <f>IF(Karakterlap!$Y$3&gt;1,"heraldika (dwoon)","")</f>
        <v/>
      </c>
      <c r="K8" s="147"/>
      <c r="L8" s="147"/>
      <c r="M8" s="147"/>
      <c r="N8" s="147"/>
      <c r="O8" s="147"/>
      <c r="P8" s="21"/>
      <c r="Q8" s="23" t="str">
        <f>IF(Karakterlap!$Y$3&gt;1,"Mf","")</f>
        <v/>
      </c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tr">
        <f>IF(Karakterlap!$Y$3&gt;2,"jog (dwoon)","")</f>
        <v/>
      </c>
      <c r="K9" s="147"/>
      <c r="L9" s="147"/>
      <c r="M9" s="147"/>
      <c r="N9" s="147"/>
      <c r="O9" s="147"/>
      <c r="P9" s="21"/>
      <c r="Q9" s="23" t="str">
        <f>IF(Karakterlap!$Y$3&gt;2,"Af","")</f>
        <v/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tr">
        <f>IF(Karakterlap!$Y$3&gt;3,"térképészet","")</f>
        <v/>
      </c>
      <c r="K10" s="147"/>
      <c r="L10" s="147"/>
      <c r="M10" s="147"/>
      <c r="N10" s="147"/>
      <c r="O10" s="147"/>
      <c r="P10" s="21"/>
      <c r="Q10" s="23" t="str">
        <f>IF(Karakterlap!$Y$3&gt;3,"Af","")</f>
        <v/>
      </c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 t="str">
        <f>IF(Karakterlap!$Y$3&gt;4,"birtokigazgatás","")</f>
        <v/>
      </c>
      <c r="K11" s="147"/>
      <c r="L11" s="147"/>
      <c r="M11" s="147"/>
      <c r="N11" s="147"/>
      <c r="O11" s="147"/>
      <c r="P11" s="21"/>
      <c r="Q11" s="23" t="str">
        <f>IF(Karakterlap!$Y$3&gt;4,"Af","")</f>
        <v/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 t="str">
        <f>IF(Karakterlap!$Y$3&gt;7,"ó-dwoon","")</f>
        <v/>
      </c>
      <c r="AB11" s="147"/>
      <c r="AC11" s="147"/>
      <c r="AD11" s="147"/>
      <c r="AE11" s="147"/>
      <c r="AF11" s="147"/>
      <c r="AG11" s="147"/>
      <c r="AH11" s="21"/>
      <c r="AI11" s="147" t="str">
        <f>IF(Karakterlap!$Y$3&gt;7,"Af","")</f>
        <v/>
      </c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97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763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773</v>
      </c>
      <c r="K2" s="147"/>
      <c r="L2" s="147"/>
      <c r="M2" s="147"/>
      <c r="N2" s="147"/>
      <c r="O2" s="147"/>
      <c r="P2" s="21"/>
      <c r="Q2" s="23" t="s">
        <v>642</v>
      </c>
      <c r="R2" s="146" t="s">
        <v>770</v>
      </c>
      <c r="S2" s="147"/>
      <c r="T2" s="147"/>
      <c r="U2" s="147"/>
      <c r="V2" s="147"/>
      <c r="W2" s="147"/>
      <c r="X2" s="21"/>
      <c r="Y2" s="147" t="s">
        <v>652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677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">
        <v>659</v>
      </c>
      <c r="K3" s="147"/>
      <c r="L3" s="147"/>
      <c r="M3" s="147"/>
      <c r="N3" s="147"/>
      <c r="O3" s="147"/>
      <c r="P3" s="21"/>
      <c r="Q3" s="23" t="s">
        <v>642</v>
      </c>
      <c r="R3" s="146" t="s">
        <v>771</v>
      </c>
      <c r="S3" s="147"/>
      <c r="T3" s="147"/>
      <c r="U3" s="147"/>
      <c r="V3" s="147"/>
      <c r="W3" s="147"/>
      <c r="X3" s="21"/>
      <c r="Y3" s="159">
        <v>0.6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676</v>
      </c>
      <c r="B4" s="147"/>
      <c r="C4" s="147"/>
      <c r="D4" s="147"/>
      <c r="E4" s="147"/>
      <c r="F4" s="147"/>
      <c r="G4" s="21"/>
      <c r="H4" s="147" t="s">
        <v>642</v>
      </c>
      <c r="I4" s="174"/>
      <c r="J4" s="146" t="s">
        <v>660</v>
      </c>
      <c r="K4" s="147"/>
      <c r="L4" s="147"/>
      <c r="M4" s="147"/>
      <c r="N4" s="147"/>
      <c r="O4" s="147"/>
      <c r="P4" s="21"/>
      <c r="Q4" s="23" t="s">
        <v>652</v>
      </c>
      <c r="R4" s="146" t="s">
        <v>772</v>
      </c>
      <c r="S4" s="147"/>
      <c r="T4" s="147"/>
      <c r="U4" s="147"/>
      <c r="V4" s="147"/>
      <c r="W4" s="147"/>
      <c r="X4" s="21"/>
      <c r="Y4" s="147" t="s">
        <v>652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687</v>
      </c>
      <c r="B5" s="147"/>
      <c r="C5" s="147"/>
      <c r="D5" s="147"/>
      <c r="E5" s="147"/>
      <c r="F5" s="147"/>
      <c r="G5" s="21"/>
      <c r="H5" s="147" t="s">
        <v>642</v>
      </c>
      <c r="I5" s="174"/>
      <c r="J5" s="341" t="s">
        <v>663</v>
      </c>
      <c r="K5" s="342"/>
      <c r="L5" s="342"/>
      <c r="M5" s="342"/>
      <c r="N5" s="342"/>
      <c r="O5" s="168"/>
      <c r="P5" s="21"/>
      <c r="Q5" s="23" t="s">
        <v>642</v>
      </c>
      <c r="R5" s="146" t="s">
        <v>665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669</v>
      </c>
      <c r="B6" s="147"/>
      <c r="C6" s="147"/>
      <c r="D6" s="147"/>
      <c r="E6" s="147"/>
      <c r="F6" s="147"/>
      <c r="G6" s="21"/>
      <c r="H6" s="147" t="str">
        <f>IF(Karakterlap!$Y$3&gt;1,"Mf","Af")</f>
        <v>Af</v>
      </c>
      <c r="I6" s="174"/>
      <c r="J6" s="146" t="s">
        <v>661</v>
      </c>
      <c r="K6" s="147"/>
      <c r="L6" s="147"/>
      <c r="M6" s="147"/>
      <c r="N6" s="147"/>
      <c r="O6" s="147"/>
      <c r="P6" s="21"/>
      <c r="Q6" s="23" t="s">
        <v>642</v>
      </c>
      <c r="R6" s="146" t="s">
        <v>643</v>
      </c>
      <c r="S6" s="147"/>
      <c r="T6" s="147"/>
      <c r="U6" s="147"/>
      <c r="V6" s="147"/>
      <c r="W6" s="147"/>
      <c r="X6" s="21"/>
      <c r="Y6" s="147" t="s">
        <v>652</v>
      </c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/>
      <c r="B7" s="147"/>
      <c r="C7" s="147"/>
      <c r="D7" s="147"/>
      <c r="E7" s="147"/>
      <c r="F7" s="147"/>
      <c r="G7" s="21"/>
      <c r="H7" s="147"/>
      <c r="I7" s="174"/>
      <c r="J7" s="146" t="s">
        <v>646</v>
      </c>
      <c r="K7" s="147"/>
      <c r="L7" s="147"/>
      <c r="M7" s="147"/>
      <c r="N7" s="147"/>
      <c r="O7" s="147"/>
      <c r="P7" s="21"/>
      <c r="Q7" s="23" t="s">
        <v>642</v>
      </c>
      <c r="R7" s="146" t="s">
        <v>715</v>
      </c>
      <c r="S7" s="147"/>
      <c r="T7" s="147"/>
      <c r="U7" s="147"/>
      <c r="V7" s="147"/>
      <c r="W7" s="147"/>
      <c r="X7" s="21"/>
      <c r="Y7" s="147" t="str">
        <f>IF(Karakterlap!$Y$3&gt;2,"Mf","Af")</f>
        <v>Af</v>
      </c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 t="s">
        <v>705</v>
      </c>
      <c r="K8" s="147"/>
      <c r="L8" s="147"/>
      <c r="M8" s="147"/>
      <c r="N8" s="147"/>
      <c r="O8" s="147"/>
      <c r="P8" s="21"/>
      <c r="Q8" s="23" t="str">
        <f>IF(Karakterlap!$Y$3&gt;3,"Mf","Af")</f>
        <v>Af</v>
      </c>
      <c r="R8" s="146" t="s">
        <v>709</v>
      </c>
      <c r="S8" s="147"/>
      <c r="T8" s="147"/>
      <c r="U8" s="147"/>
      <c r="V8" s="147"/>
      <c r="W8" s="147"/>
      <c r="X8" s="21"/>
      <c r="Y8" s="147" t="s">
        <v>642</v>
      </c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 t="str">
        <f>IF(Karakterlap!$Y$3&gt;1,"térképészet","")</f>
        <v/>
      </c>
      <c r="K9" s="147"/>
      <c r="L9" s="147"/>
      <c r="M9" s="147"/>
      <c r="N9" s="147"/>
      <c r="O9" s="147"/>
      <c r="P9" s="21"/>
      <c r="Q9" s="23" t="str">
        <f>IF(Karakterlap!$Y$3&gt;1,"Af","")</f>
        <v/>
      </c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 t="str">
        <f>IF(Karakterlap!$Y$3&gt;2,"legendaismeret","")</f>
        <v/>
      </c>
      <c r="K10" s="147"/>
      <c r="L10" s="147"/>
      <c r="M10" s="147"/>
      <c r="N10" s="147"/>
      <c r="O10" s="147"/>
      <c r="P10" s="21"/>
      <c r="Q10" s="23" t="str">
        <f>IF(Karakterlap!$Y$3&gt;2,"Af","")</f>
        <v/>
      </c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 t="s">
        <v>135</v>
      </c>
      <c r="B11" s="147"/>
      <c r="C11" s="147"/>
      <c r="D11" s="147"/>
      <c r="E11" s="147"/>
      <c r="F11" s="147"/>
      <c r="G11" s="21" t="s">
        <v>136</v>
      </c>
      <c r="H11" s="147" t="s">
        <v>137</v>
      </c>
      <c r="I11" s="174"/>
      <c r="J11" s="146" t="str">
        <f>IF(Karakterlap!$Y$3&gt;4,"herbalizmus","")</f>
        <v/>
      </c>
      <c r="K11" s="147"/>
      <c r="L11" s="147"/>
      <c r="M11" s="147"/>
      <c r="N11" s="147"/>
      <c r="O11" s="147"/>
      <c r="P11" s="21"/>
      <c r="Q11" s="23" t="str">
        <f>IF(Karakterlap!$Y$3&gt;4,"Af","")</f>
        <v/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98" enableFormatConditionsCalculation="0"/>
  <dimension ref="A1:AJ17"/>
  <sheetViews>
    <sheetView workbookViewId="0">
      <selection activeCell="R12" sqref="R12:Z17"/>
    </sheetView>
  </sheetViews>
  <sheetFormatPr baseColWidth="10" defaultColWidth="8.83203125" defaultRowHeight="15" x14ac:dyDescent="0.2"/>
  <cols>
    <col min="1" max="36" width="3.6640625" customWidth="1"/>
  </cols>
  <sheetData>
    <row r="1" spans="1:36" x14ac:dyDescent="0.2">
      <c r="A1" s="157" t="s">
        <v>138</v>
      </c>
      <c r="B1" s="158"/>
      <c r="C1" s="158"/>
      <c r="D1" s="158"/>
      <c r="E1" s="158"/>
      <c r="F1" s="158"/>
      <c r="G1" s="19" t="s">
        <v>136</v>
      </c>
      <c r="H1" s="158" t="s">
        <v>137</v>
      </c>
      <c r="I1" s="165"/>
      <c r="J1" s="157" t="s">
        <v>139</v>
      </c>
      <c r="K1" s="158"/>
      <c r="L1" s="158"/>
      <c r="M1" s="158"/>
      <c r="N1" s="158"/>
      <c r="O1" s="158"/>
      <c r="P1" s="19" t="s">
        <v>136</v>
      </c>
      <c r="Q1" s="20" t="s">
        <v>137</v>
      </c>
      <c r="R1" s="157" t="s">
        <v>140</v>
      </c>
      <c r="S1" s="158"/>
      <c r="T1" s="158"/>
      <c r="U1" s="158"/>
      <c r="V1" s="158"/>
      <c r="W1" s="158"/>
      <c r="X1" s="17" t="s">
        <v>136</v>
      </c>
      <c r="Y1" s="158" t="s">
        <v>137</v>
      </c>
      <c r="Z1" s="165"/>
      <c r="AA1" s="176" t="s">
        <v>853</v>
      </c>
      <c r="AB1" s="177"/>
      <c r="AC1" s="177"/>
      <c r="AD1" s="177"/>
      <c r="AE1" s="177"/>
      <c r="AF1" s="177"/>
      <c r="AG1" s="177"/>
      <c r="AH1" s="18" t="s">
        <v>136</v>
      </c>
      <c r="AI1" s="177" t="s">
        <v>137</v>
      </c>
      <c r="AJ1" s="178"/>
    </row>
    <row r="2" spans="1:36" x14ac:dyDescent="0.2">
      <c r="A2" s="146" t="s">
        <v>943</v>
      </c>
      <c r="B2" s="147"/>
      <c r="C2" s="147"/>
      <c r="D2" s="147"/>
      <c r="E2" s="147"/>
      <c r="F2" s="147"/>
      <c r="G2" s="21"/>
      <c r="H2" s="147" t="s">
        <v>642</v>
      </c>
      <c r="I2" s="174"/>
      <c r="J2" s="146" t="s">
        <v>946</v>
      </c>
      <c r="K2" s="147"/>
      <c r="L2" s="147"/>
      <c r="M2" s="147"/>
      <c r="N2" s="147"/>
      <c r="O2" s="147"/>
      <c r="P2" s="21"/>
      <c r="Q2" s="23" t="s">
        <v>652</v>
      </c>
      <c r="R2" s="146" t="s">
        <v>643</v>
      </c>
      <c r="S2" s="147"/>
      <c r="T2" s="147"/>
      <c r="U2" s="147"/>
      <c r="V2" s="147"/>
      <c r="W2" s="147"/>
      <c r="X2" s="21"/>
      <c r="Y2" s="147" t="s">
        <v>642</v>
      </c>
      <c r="Z2" s="174"/>
      <c r="AA2" s="168"/>
      <c r="AB2" s="147"/>
      <c r="AC2" s="147"/>
      <c r="AD2" s="147"/>
      <c r="AE2" s="147"/>
      <c r="AF2" s="147"/>
      <c r="AG2" s="147"/>
      <c r="AH2" s="21"/>
      <c r="AI2" s="147">
        <v>5</v>
      </c>
      <c r="AJ2" s="174"/>
    </row>
    <row r="3" spans="1:36" x14ac:dyDescent="0.2">
      <c r="A3" s="146" t="s">
        <v>944</v>
      </c>
      <c r="B3" s="147"/>
      <c r="C3" s="147"/>
      <c r="D3" s="147"/>
      <c r="E3" s="147"/>
      <c r="F3" s="147"/>
      <c r="G3" s="21"/>
      <c r="H3" s="147" t="s">
        <v>642</v>
      </c>
      <c r="I3" s="174"/>
      <c r="J3" s="146" t="str">
        <f>IF(Karakterlap!$Y$3&gt;1,"sebgyógyítás","")</f>
        <v/>
      </c>
      <c r="K3" s="147"/>
      <c r="L3" s="147"/>
      <c r="M3" s="147"/>
      <c r="N3" s="147"/>
      <c r="O3" s="147"/>
      <c r="P3" s="21"/>
      <c r="Q3" s="23" t="str">
        <f>IF(Karakterlap!$Y$3&lt;2,"",IF(Karakterlap!$Y$3&gt;5,"Mf","Af"))</f>
        <v/>
      </c>
      <c r="R3" s="146" t="s">
        <v>644</v>
      </c>
      <c r="S3" s="147"/>
      <c r="T3" s="147"/>
      <c r="U3" s="147"/>
      <c r="V3" s="147"/>
      <c r="W3" s="147"/>
      <c r="X3" s="21"/>
      <c r="Y3" s="147" t="s">
        <v>642</v>
      </c>
      <c r="Z3" s="174"/>
      <c r="AA3" s="168"/>
      <c r="AB3" s="147"/>
      <c r="AC3" s="147"/>
      <c r="AD3" s="147"/>
      <c r="AE3" s="147"/>
      <c r="AF3" s="147"/>
      <c r="AG3" s="147"/>
      <c r="AH3" s="21"/>
      <c r="AI3" s="147"/>
      <c r="AJ3" s="174"/>
    </row>
    <row r="4" spans="1:36" x14ac:dyDescent="0.2">
      <c r="A4" s="146" t="s">
        <v>657</v>
      </c>
      <c r="B4" s="147"/>
      <c r="C4" s="147"/>
      <c r="D4" s="147"/>
      <c r="E4" s="147"/>
      <c r="F4" s="147"/>
      <c r="G4" s="21"/>
      <c r="H4" s="147" t="str">
        <f>IF(Karakterlap!$Y$3&gt;4,"Mf","Af")</f>
        <v>Af</v>
      </c>
      <c r="I4" s="174"/>
      <c r="J4" s="146"/>
      <c r="K4" s="147"/>
      <c r="L4" s="147"/>
      <c r="M4" s="147"/>
      <c r="N4" s="147"/>
      <c r="O4" s="147"/>
      <c r="P4" s="21"/>
      <c r="Q4" s="23"/>
      <c r="R4" s="146" t="s">
        <v>645</v>
      </c>
      <c r="S4" s="147"/>
      <c r="T4" s="147"/>
      <c r="U4" s="147"/>
      <c r="V4" s="147"/>
      <c r="W4" s="147"/>
      <c r="X4" s="21"/>
      <c r="Y4" s="147" t="s">
        <v>642</v>
      </c>
      <c r="Z4" s="174"/>
      <c r="AA4" s="168"/>
      <c r="AB4" s="147"/>
      <c r="AC4" s="147"/>
      <c r="AD4" s="147"/>
      <c r="AE4" s="147"/>
      <c r="AF4" s="147"/>
      <c r="AG4" s="147"/>
      <c r="AH4" s="21"/>
      <c r="AI4" s="147"/>
      <c r="AJ4" s="174"/>
    </row>
    <row r="5" spans="1:36" x14ac:dyDescent="0.2">
      <c r="A5" s="146" t="s">
        <v>945</v>
      </c>
      <c r="B5" s="147"/>
      <c r="C5" s="147"/>
      <c r="D5" s="147"/>
      <c r="E5" s="147"/>
      <c r="F5" s="147"/>
      <c r="G5" s="21"/>
      <c r="H5" s="147" t="str">
        <f>IF(Karakterlap!$Y$3&gt;3,"Mf","Af")</f>
        <v>Af</v>
      </c>
      <c r="I5" s="174"/>
      <c r="J5" s="146"/>
      <c r="K5" s="147"/>
      <c r="L5" s="147"/>
      <c r="M5" s="147"/>
      <c r="N5" s="147"/>
      <c r="O5" s="147"/>
      <c r="P5" s="21"/>
      <c r="Q5" s="23"/>
      <c r="R5" s="146" t="s">
        <v>762</v>
      </c>
      <c r="S5" s="147"/>
      <c r="T5" s="147"/>
      <c r="U5" s="147"/>
      <c r="V5" s="147"/>
      <c r="W5" s="147"/>
      <c r="X5" s="21"/>
      <c r="Y5" s="147" t="s">
        <v>642</v>
      </c>
      <c r="Z5" s="174"/>
      <c r="AA5" s="168"/>
      <c r="AB5" s="147"/>
      <c r="AC5" s="147"/>
      <c r="AD5" s="147"/>
      <c r="AE5" s="147"/>
      <c r="AF5" s="147"/>
      <c r="AG5" s="147"/>
      <c r="AH5" s="21"/>
      <c r="AI5" s="147"/>
      <c r="AJ5" s="174"/>
    </row>
    <row r="6" spans="1:36" x14ac:dyDescent="0.2">
      <c r="A6" s="146" t="s">
        <v>761</v>
      </c>
      <c r="B6" s="147"/>
      <c r="C6" s="147"/>
      <c r="D6" s="147"/>
      <c r="E6" s="147"/>
      <c r="F6" s="147"/>
      <c r="G6" s="21"/>
      <c r="H6" s="147" t="s">
        <v>642</v>
      </c>
      <c r="I6" s="174"/>
      <c r="J6" s="146"/>
      <c r="K6" s="147"/>
      <c r="L6" s="147"/>
      <c r="M6" s="147"/>
      <c r="N6" s="147"/>
      <c r="O6" s="147"/>
      <c r="P6" s="21"/>
      <c r="Q6" s="23"/>
      <c r="R6" s="146"/>
      <c r="S6" s="147"/>
      <c r="T6" s="147"/>
      <c r="U6" s="147"/>
      <c r="V6" s="147"/>
      <c r="W6" s="147"/>
      <c r="X6" s="21"/>
      <c r="Y6" s="147"/>
      <c r="Z6" s="174"/>
      <c r="AA6" s="168"/>
      <c r="AB6" s="147"/>
      <c r="AC6" s="147"/>
      <c r="AD6" s="147"/>
      <c r="AE6" s="147"/>
      <c r="AF6" s="147"/>
      <c r="AG6" s="147"/>
      <c r="AH6" s="21"/>
      <c r="AI6" s="147"/>
      <c r="AJ6" s="174"/>
    </row>
    <row r="7" spans="1:36" x14ac:dyDescent="0.2">
      <c r="A7" s="146" t="s">
        <v>672</v>
      </c>
      <c r="B7" s="147"/>
      <c r="C7" s="147"/>
      <c r="D7" s="147"/>
      <c r="E7" s="147"/>
      <c r="F7" s="147"/>
      <c r="G7" s="21"/>
      <c r="H7" s="147" t="s">
        <v>652</v>
      </c>
      <c r="I7" s="174"/>
      <c r="J7" s="146"/>
      <c r="K7" s="147"/>
      <c r="L7" s="147"/>
      <c r="M7" s="147"/>
      <c r="N7" s="147"/>
      <c r="O7" s="147"/>
      <c r="P7" s="21"/>
      <c r="Q7" s="23"/>
      <c r="R7" s="146"/>
      <c r="S7" s="147"/>
      <c r="T7" s="147"/>
      <c r="U7" s="147"/>
      <c r="V7" s="147"/>
      <c r="W7" s="147"/>
      <c r="X7" s="21"/>
      <c r="Y7" s="147"/>
      <c r="Z7" s="174"/>
      <c r="AA7" s="168"/>
      <c r="AB7" s="147"/>
      <c r="AC7" s="147"/>
      <c r="AD7" s="147"/>
      <c r="AE7" s="147"/>
      <c r="AF7" s="147"/>
      <c r="AG7" s="147"/>
      <c r="AH7" s="21"/>
      <c r="AI7" s="147"/>
      <c r="AJ7" s="174"/>
    </row>
    <row r="8" spans="1:36" x14ac:dyDescent="0.2">
      <c r="A8" s="146"/>
      <c r="B8" s="147"/>
      <c r="C8" s="147"/>
      <c r="D8" s="147"/>
      <c r="E8" s="147"/>
      <c r="F8" s="147"/>
      <c r="G8" s="21"/>
      <c r="H8" s="147"/>
      <c r="I8" s="174"/>
      <c r="J8" s="146"/>
      <c r="K8" s="147"/>
      <c r="L8" s="147"/>
      <c r="M8" s="147"/>
      <c r="N8" s="147"/>
      <c r="O8" s="147"/>
      <c r="P8" s="21"/>
      <c r="Q8" s="23"/>
      <c r="R8" s="146"/>
      <c r="S8" s="147"/>
      <c r="T8" s="147"/>
      <c r="U8" s="147"/>
      <c r="V8" s="147"/>
      <c r="W8" s="147"/>
      <c r="X8" s="21"/>
      <c r="Y8" s="147"/>
      <c r="Z8" s="174"/>
      <c r="AA8" s="168"/>
      <c r="AB8" s="147"/>
      <c r="AC8" s="147"/>
      <c r="AD8" s="147"/>
      <c r="AE8" s="147"/>
      <c r="AF8" s="147"/>
      <c r="AG8" s="147"/>
      <c r="AH8" s="21"/>
      <c r="AI8" s="147"/>
      <c r="AJ8" s="174"/>
    </row>
    <row r="9" spans="1:36" ht="16" thickBot="1" x14ac:dyDescent="0.25">
      <c r="A9" s="146"/>
      <c r="B9" s="147"/>
      <c r="C9" s="147"/>
      <c r="D9" s="147"/>
      <c r="E9" s="147"/>
      <c r="F9" s="147"/>
      <c r="G9" s="21"/>
      <c r="H9" s="147"/>
      <c r="I9" s="174"/>
      <c r="J9" s="146"/>
      <c r="K9" s="147"/>
      <c r="L9" s="147"/>
      <c r="M9" s="147"/>
      <c r="N9" s="147"/>
      <c r="O9" s="147"/>
      <c r="P9" s="21"/>
      <c r="Q9" s="23"/>
      <c r="R9" s="146"/>
      <c r="S9" s="147"/>
      <c r="T9" s="147"/>
      <c r="U9" s="147"/>
      <c r="V9" s="147"/>
      <c r="W9" s="147"/>
      <c r="X9" s="21"/>
      <c r="Y9" s="147"/>
      <c r="Z9" s="174"/>
      <c r="AA9" s="168"/>
      <c r="AB9" s="147"/>
      <c r="AC9" s="147"/>
      <c r="AD9" s="147"/>
      <c r="AE9" s="147"/>
      <c r="AF9" s="147"/>
      <c r="AG9" s="147"/>
      <c r="AH9" s="21"/>
      <c r="AI9" s="147"/>
      <c r="AJ9" s="174"/>
    </row>
    <row r="10" spans="1:36" x14ac:dyDescent="0.2">
      <c r="A10" s="146"/>
      <c r="B10" s="147"/>
      <c r="C10" s="147"/>
      <c r="D10" s="147"/>
      <c r="E10" s="147"/>
      <c r="F10" s="147"/>
      <c r="G10" s="21"/>
      <c r="H10" s="147"/>
      <c r="I10" s="174"/>
      <c r="J10" s="146"/>
      <c r="K10" s="147"/>
      <c r="L10" s="147"/>
      <c r="M10" s="147"/>
      <c r="N10" s="147"/>
      <c r="O10" s="147"/>
      <c r="P10" s="21"/>
      <c r="Q10" s="23"/>
      <c r="R10" s="146"/>
      <c r="S10" s="147"/>
      <c r="T10" s="147"/>
      <c r="U10" s="147"/>
      <c r="V10" s="147"/>
      <c r="W10" s="147"/>
      <c r="X10" s="21"/>
      <c r="Y10" s="147"/>
      <c r="Z10" s="174"/>
      <c r="AA10" s="176" t="s">
        <v>854</v>
      </c>
      <c r="AB10" s="177"/>
      <c r="AC10" s="177"/>
      <c r="AD10" s="177"/>
      <c r="AE10" s="177"/>
      <c r="AF10" s="177"/>
      <c r="AG10" s="177"/>
      <c r="AH10" s="18" t="s">
        <v>136</v>
      </c>
      <c r="AI10" s="177" t="s">
        <v>137</v>
      </c>
      <c r="AJ10" s="178"/>
    </row>
    <row r="11" spans="1:36" x14ac:dyDescent="0.2">
      <c r="A11" s="146"/>
      <c r="B11" s="147"/>
      <c r="C11" s="147"/>
      <c r="D11" s="147"/>
      <c r="E11" s="147"/>
      <c r="F11" s="147"/>
      <c r="G11" s="21"/>
      <c r="H11" s="147"/>
      <c r="I11" s="174"/>
      <c r="J11" s="146" t="s">
        <v>135</v>
      </c>
      <c r="K11" s="147"/>
      <c r="L11" s="147"/>
      <c r="M11" s="147"/>
      <c r="N11" s="147"/>
      <c r="O11" s="147"/>
      <c r="P11" s="21" t="s">
        <v>136</v>
      </c>
      <c r="Q11" s="23" t="s">
        <v>137</v>
      </c>
      <c r="R11" s="146"/>
      <c r="S11" s="147"/>
      <c r="T11" s="147"/>
      <c r="U11" s="147"/>
      <c r="V11" s="147"/>
      <c r="W11" s="147"/>
      <c r="X11" s="21"/>
      <c r="Y11" s="147"/>
      <c r="Z11" s="174"/>
      <c r="AA11" s="168"/>
      <c r="AB11" s="147"/>
      <c r="AC11" s="147"/>
      <c r="AD11" s="147"/>
      <c r="AE11" s="147"/>
      <c r="AF11" s="147"/>
      <c r="AG11" s="147"/>
      <c r="AH11" s="21"/>
      <c r="AI11" s="147"/>
      <c r="AJ11" s="174"/>
    </row>
    <row r="12" spans="1:36" ht="16" thickBot="1" x14ac:dyDescent="0.25">
      <c r="A12" s="146"/>
      <c r="B12" s="147"/>
      <c r="C12" s="147"/>
      <c r="D12" s="147"/>
      <c r="E12" s="147"/>
      <c r="F12" s="147"/>
      <c r="G12" s="21"/>
      <c r="H12" s="147"/>
      <c r="I12" s="174"/>
      <c r="J12" s="146"/>
      <c r="K12" s="147"/>
      <c r="L12" s="147"/>
      <c r="M12" s="147"/>
      <c r="N12" s="147"/>
      <c r="O12" s="147"/>
      <c r="P12" s="21"/>
      <c r="Q12" s="23"/>
      <c r="R12" s="146" t="str">
        <f>IF(Karakterlap!$V$7="Elf","Faji képzettségek",IF(Karakterlap!$V$7="Félelf","Faji képzettségek",IF(Karakterlap!$V$7="Khál","Faji képzettségek","")))</f>
        <v/>
      </c>
      <c r="S12" s="147"/>
      <c r="T12" s="147"/>
      <c r="U12" s="147"/>
      <c r="V12" s="147"/>
      <c r="W12" s="147"/>
      <c r="X12" s="21"/>
      <c r="Y12" s="147" t="str">
        <f>IF(Karakterlap!$V$7="Elf","Fok",IF(Karakterlap!$V$7="Félelf","Fok",IF(Karakterlap!$V$7="Khál","Fok","")))</f>
        <v/>
      </c>
      <c r="Z12" s="174"/>
      <c r="AA12" s="169"/>
      <c r="AB12" s="161"/>
      <c r="AC12" s="161"/>
      <c r="AD12" s="161"/>
      <c r="AE12" s="161"/>
      <c r="AF12" s="161"/>
      <c r="AG12" s="161"/>
      <c r="AH12" s="22"/>
      <c r="AI12" s="161"/>
      <c r="AJ12" s="162"/>
    </row>
    <row r="13" spans="1:36" x14ac:dyDescent="0.2">
      <c r="A13" s="146"/>
      <c r="B13" s="147"/>
      <c r="C13" s="147"/>
      <c r="D13" s="147"/>
      <c r="E13" s="147"/>
      <c r="F13" s="147"/>
      <c r="G13" s="21"/>
      <c r="H13" s="147"/>
      <c r="I13" s="174"/>
      <c r="J13" s="146"/>
      <c r="K13" s="147"/>
      <c r="L13" s="147"/>
      <c r="M13" s="147"/>
      <c r="N13" s="147"/>
      <c r="O13" s="147"/>
      <c r="P13" s="21"/>
      <c r="Q13" s="23"/>
      <c r="R13" s="146" t="e">
        <f>HLOOKUP(Karakterlap!$V$7,'Faji képzettségek'!$A:$H,2,FALSE)</f>
        <v>#N/A</v>
      </c>
      <c r="S13" s="147"/>
      <c r="T13" s="147"/>
      <c r="U13" s="147"/>
      <c r="V13" s="147"/>
      <c r="W13" s="147"/>
      <c r="X13" s="21"/>
      <c r="Y13" s="147" t="e">
        <f>HLOOKUP(Karakterlap!$V$7&amp;"fok",'Faji képzettségek'!$A:$H,2,FALSE)</f>
        <v>#N/A</v>
      </c>
      <c r="Z13" s="174"/>
    </row>
    <row r="14" spans="1:36" x14ac:dyDescent="0.2">
      <c r="A14" s="146"/>
      <c r="B14" s="147"/>
      <c r="C14" s="147"/>
      <c r="D14" s="147"/>
      <c r="E14" s="147"/>
      <c r="F14" s="147"/>
      <c r="G14" s="21"/>
      <c r="H14" s="147"/>
      <c r="I14" s="174"/>
      <c r="J14" s="146"/>
      <c r="K14" s="147"/>
      <c r="L14" s="147"/>
      <c r="M14" s="147"/>
      <c r="N14" s="147"/>
      <c r="O14" s="147"/>
      <c r="P14" s="21"/>
      <c r="Q14" s="23"/>
      <c r="R14" s="146" t="e">
        <f>HLOOKUP(Karakterlap!$V$7,'Faji képzettségek'!$A:$H,3,FALSE)</f>
        <v>#N/A</v>
      </c>
      <c r="S14" s="147"/>
      <c r="T14" s="147"/>
      <c r="U14" s="147"/>
      <c r="V14" s="147"/>
      <c r="W14" s="147"/>
      <c r="X14" s="21"/>
      <c r="Y14" s="147" t="e">
        <f>HLOOKUP(Karakterlap!$V$7&amp;"fok",'Faji képzettségek'!$A:$H,3,FALSE)</f>
        <v>#N/A</v>
      </c>
      <c r="Z14" s="174"/>
    </row>
    <row r="15" spans="1:36" x14ac:dyDescent="0.2">
      <c r="A15" s="146"/>
      <c r="B15" s="147"/>
      <c r="C15" s="147"/>
      <c r="D15" s="147"/>
      <c r="E15" s="147"/>
      <c r="F15" s="147"/>
      <c r="G15" s="21"/>
      <c r="H15" s="147"/>
      <c r="I15" s="174"/>
      <c r="J15" s="146"/>
      <c r="K15" s="147"/>
      <c r="L15" s="147"/>
      <c r="M15" s="147"/>
      <c r="N15" s="147"/>
      <c r="O15" s="147"/>
      <c r="P15" s="21"/>
      <c r="Q15" s="23"/>
      <c r="R15" s="146" t="e">
        <f>HLOOKUP(Karakterlap!$V$7,'Faji képzettségek'!$A:$H,4,FALSE)</f>
        <v>#N/A</v>
      </c>
      <c r="S15" s="147"/>
      <c r="T15" s="147"/>
      <c r="U15" s="147"/>
      <c r="V15" s="147"/>
      <c r="W15" s="147"/>
      <c r="X15" s="21"/>
      <c r="Y15" s="147" t="e">
        <f>HLOOKUP(Karakterlap!$V$7&amp;"fok",'Faji képzettségek'!$A:$H,4,FALSE)</f>
        <v>#N/A</v>
      </c>
      <c r="Z15" s="174"/>
    </row>
    <row r="16" spans="1:36" x14ac:dyDescent="0.2">
      <c r="A16" s="146"/>
      <c r="B16" s="147"/>
      <c r="C16" s="147"/>
      <c r="D16" s="147"/>
      <c r="E16" s="147"/>
      <c r="F16" s="147"/>
      <c r="G16" s="21"/>
      <c r="H16" s="147"/>
      <c r="I16" s="174"/>
      <c r="J16" s="146"/>
      <c r="K16" s="147"/>
      <c r="L16" s="147"/>
      <c r="M16" s="147"/>
      <c r="N16" s="147"/>
      <c r="O16" s="147"/>
      <c r="P16" s="21"/>
      <c r="Q16" s="23"/>
      <c r="R16" s="146" t="e">
        <f>HLOOKUP(Karakterlap!$V$7,'Faji képzettségek'!$A:$H,5,FALSE)</f>
        <v>#N/A</v>
      </c>
      <c r="S16" s="147"/>
      <c r="T16" s="147"/>
      <c r="U16" s="147"/>
      <c r="V16" s="147"/>
      <c r="W16" s="147"/>
      <c r="X16" s="21"/>
      <c r="Y16" s="147" t="e">
        <f>HLOOKUP(Karakterlap!$V$7&amp;"fok",'Faji képzettségek'!$A:$H,5,FALSE)</f>
        <v>#N/A</v>
      </c>
      <c r="Z16" s="174"/>
    </row>
    <row r="17" spans="1:26" ht="16" thickBot="1" x14ac:dyDescent="0.25">
      <c r="A17" s="173"/>
      <c r="B17" s="161"/>
      <c r="C17" s="161"/>
      <c r="D17" s="161"/>
      <c r="E17" s="161"/>
      <c r="F17" s="161"/>
      <c r="G17" s="22"/>
      <c r="H17" s="161"/>
      <c r="I17" s="162"/>
      <c r="J17" s="173"/>
      <c r="K17" s="161"/>
      <c r="L17" s="161"/>
      <c r="M17" s="161"/>
      <c r="N17" s="161"/>
      <c r="O17" s="161"/>
      <c r="P17" s="22"/>
      <c r="Q17" s="24"/>
      <c r="R17" s="173" t="e">
        <f>HLOOKUP(Karakterlap!$V$7,'Faji képzettségek'!$A:$H,6,FALSE)</f>
        <v>#N/A</v>
      </c>
      <c r="S17" s="161"/>
      <c r="T17" s="161"/>
      <c r="U17" s="161"/>
      <c r="V17" s="161"/>
      <c r="W17" s="161"/>
      <c r="X17" s="22"/>
      <c r="Y17" s="161" t="e">
        <f>HLOOKUP(Karakterlap!$V$7&amp;"fok",'Faji képzettségek'!$A:$H,6,FALSE)</f>
        <v>#N/A</v>
      </c>
      <c r="Z17" s="162"/>
    </row>
  </sheetData>
  <mergeCells count="109">
    <mergeCell ref="AI1:AJ1"/>
    <mergeCell ref="A2:F2"/>
    <mergeCell ref="H2:I2"/>
    <mergeCell ref="J2:O2"/>
    <mergeCell ref="R2:W2"/>
    <mergeCell ref="Y2:Z2"/>
    <mergeCell ref="AA2:AG2"/>
    <mergeCell ref="AI2:AJ2"/>
    <mergeCell ref="A1:F1"/>
    <mergeCell ref="H1:I1"/>
    <mergeCell ref="J1:O1"/>
    <mergeCell ref="R1:W1"/>
    <mergeCell ref="Y1:Z1"/>
    <mergeCell ref="AA1:AG1"/>
    <mergeCell ref="AI3:AJ3"/>
    <mergeCell ref="A4:F4"/>
    <mergeCell ref="H4:I4"/>
    <mergeCell ref="J4:O4"/>
    <mergeCell ref="R4:W4"/>
    <mergeCell ref="Y4:Z4"/>
    <mergeCell ref="AA4:AG4"/>
    <mergeCell ref="AI4:AJ4"/>
    <mergeCell ref="A3:F3"/>
    <mergeCell ref="H3:I3"/>
    <mergeCell ref="J3:O3"/>
    <mergeCell ref="R3:W3"/>
    <mergeCell ref="Y3:Z3"/>
    <mergeCell ref="AA3:AG3"/>
    <mergeCell ref="AI5:AJ5"/>
    <mergeCell ref="A6:F6"/>
    <mergeCell ref="H6:I6"/>
    <mergeCell ref="J6:O6"/>
    <mergeCell ref="R6:W6"/>
    <mergeCell ref="Y6:Z6"/>
    <mergeCell ref="AA6:AG6"/>
    <mergeCell ref="AI6:AJ6"/>
    <mergeCell ref="A5:F5"/>
    <mergeCell ref="H5:I5"/>
    <mergeCell ref="J5:O5"/>
    <mergeCell ref="R5:W5"/>
    <mergeCell ref="Y5:Z5"/>
    <mergeCell ref="AA5:AG5"/>
    <mergeCell ref="AI7:AJ7"/>
    <mergeCell ref="A8:F8"/>
    <mergeCell ref="H8:I8"/>
    <mergeCell ref="J8:O8"/>
    <mergeCell ref="R8:W8"/>
    <mergeCell ref="Y8:Z8"/>
    <mergeCell ref="AA8:AG8"/>
    <mergeCell ref="AI8:AJ8"/>
    <mergeCell ref="A7:F7"/>
    <mergeCell ref="H7:I7"/>
    <mergeCell ref="J7:O7"/>
    <mergeCell ref="R7:W7"/>
    <mergeCell ref="Y7:Z7"/>
    <mergeCell ref="AA7:AG7"/>
    <mergeCell ref="AI9:AJ9"/>
    <mergeCell ref="A10:F10"/>
    <mergeCell ref="H10:I10"/>
    <mergeCell ref="J10:O10"/>
    <mergeCell ref="R10:W10"/>
    <mergeCell ref="Y10:Z10"/>
    <mergeCell ref="AA10:AG10"/>
    <mergeCell ref="AI10:AJ10"/>
    <mergeCell ref="A9:F9"/>
    <mergeCell ref="H9:I9"/>
    <mergeCell ref="J9:O9"/>
    <mergeCell ref="R9:W9"/>
    <mergeCell ref="Y9:Z9"/>
    <mergeCell ref="AA9:AG9"/>
    <mergeCell ref="AI11:AJ11"/>
    <mergeCell ref="A12:F12"/>
    <mergeCell ref="H12:I12"/>
    <mergeCell ref="J12:O12"/>
    <mergeCell ref="R12:W12"/>
    <mergeCell ref="Y12:Z12"/>
    <mergeCell ref="AA12:AG12"/>
    <mergeCell ref="AI12:AJ12"/>
    <mergeCell ref="A11:F11"/>
    <mergeCell ref="H11:I11"/>
    <mergeCell ref="J11:O11"/>
    <mergeCell ref="R11:W11"/>
    <mergeCell ref="Y11:Z11"/>
    <mergeCell ref="AA11:AG11"/>
    <mergeCell ref="A13:F13"/>
    <mergeCell ref="H13:I13"/>
    <mergeCell ref="J13:O13"/>
    <mergeCell ref="R13:W13"/>
    <mergeCell ref="Y13:Z13"/>
    <mergeCell ref="A14:F14"/>
    <mergeCell ref="H14:I14"/>
    <mergeCell ref="J14:O14"/>
    <mergeCell ref="R14:W14"/>
    <mergeCell ref="Y14:Z14"/>
    <mergeCell ref="A17:F17"/>
    <mergeCell ref="H17:I17"/>
    <mergeCell ref="J17:O17"/>
    <mergeCell ref="R17:W17"/>
    <mergeCell ref="Y17:Z17"/>
    <mergeCell ref="A15:F15"/>
    <mergeCell ref="H15:I15"/>
    <mergeCell ref="J15:O15"/>
    <mergeCell ref="R15:W15"/>
    <mergeCell ref="Y15:Z15"/>
    <mergeCell ref="A16:F16"/>
    <mergeCell ref="H16:I16"/>
    <mergeCell ref="J16:O16"/>
    <mergeCell ref="R16:W16"/>
    <mergeCell ref="Y16:Z1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113</vt:i4>
      </vt:variant>
    </vt:vector>
  </HeadingPairs>
  <TitlesOfParts>
    <vt:vector size="113" baseType="lpstr">
      <vt:lpstr>Karakterlap</vt:lpstr>
      <vt:lpstr>Adattábla</vt:lpstr>
      <vt:lpstr>Fegyverek</vt:lpstr>
      <vt:lpstr>Faji képzettségek</vt:lpstr>
      <vt:lpstr>Harcos</vt:lpstr>
      <vt:lpstr>Amazon</vt:lpstr>
      <vt:lpstr>Bajvívó</vt:lpstr>
      <vt:lpstr>Barbár</vt:lpstr>
      <vt:lpstr>Abasziszi_Falanxharcos</vt:lpstr>
      <vt:lpstr>Dwoon_Vértes_gyalogos</vt:lpstr>
      <vt:lpstr>Dwoon_Fehér_lovas</vt:lpstr>
      <vt:lpstr>Ereni_Kékköpenyes</vt:lpstr>
      <vt:lpstr>Erigowi_Szabad_Lovas</vt:lpstr>
      <vt:lpstr>Erigowi_Talpas</vt:lpstr>
      <vt:lpstr>Erigowi_Íjász</vt:lpstr>
      <vt:lpstr>Gianagi_Alabárdos</vt:lpstr>
      <vt:lpstr>Haonwell_Alborne_Csill.</vt:lpstr>
      <vt:lpstr>Haonwell_Nerton</vt:lpstr>
      <vt:lpstr>Ilanori_Vágtató</vt:lpstr>
      <vt:lpstr>Sirenari_Erdőjáró</vt:lpstr>
      <vt:lpstr>Törpe_Harcos</vt:lpstr>
      <vt:lpstr>Rackla_lovas</vt:lpstr>
      <vt:lpstr>Tiadlani_Kardmester</vt:lpstr>
      <vt:lpstr>Toroni_Ezüstkard_Bajnok</vt:lpstr>
      <vt:lpstr>Toroni_Elitharcos</vt:lpstr>
      <vt:lpstr>Predoci_Vértes</vt:lpstr>
      <vt:lpstr>Edorli_Gyalogos</vt:lpstr>
      <vt:lpstr>Harcos_tengerészek</vt:lpstr>
      <vt:lpstr>Praedarmon_Lobogói</vt:lpstr>
      <vt:lpstr>Syburri_Vértesgyalogos</vt:lpstr>
      <vt:lpstr>Nasti_könnyűlovas</vt:lpstr>
      <vt:lpstr>Ordani_lángőr</vt:lpstr>
      <vt:lpstr>Hadzsi</vt:lpstr>
      <vt:lpstr>Bahrada</vt:lpstr>
      <vt:lpstr>Birodalmi_zsoldosok</vt:lpstr>
      <vt:lpstr>Gorvik_Szabad_harcos</vt:lpstr>
      <vt:lpstr>Gorvik_Tengeri_vadász</vt:lpstr>
      <vt:lpstr>Kráni_Szabados</vt:lpstr>
      <vt:lpstr>Yllinori_Sólyom</vt:lpstr>
      <vt:lpstr>Yllinori_Kopjás_Farkas</vt:lpstr>
      <vt:lpstr>Yllinori_Vaslovas</vt:lpstr>
      <vt:lpstr>Yllinori_Medve</vt:lpstr>
      <vt:lpstr>Yllinori_Sas</vt:lpstr>
      <vt:lpstr>Gladiátor</vt:lpstr>
      <vt:lpstr>Fejvadász</vt:lpstr>
      <vt:lpstr>Lovag</vt:lpstr>
      <vt:lpstr>Tolvaj</vt:lpstr>
      <vt:lpstr>Bárd</vt:lpstr>
      <vt:lpstr>Pap</vt:lpstr>
      <vt:lpstr>Adron_pap</vt:lpstr>
      <vt:lpstr>Alborne_pap</vt:lpstr>
      <vt:lpstr>Antoh_pap</vt:lpstr>
      <vt:lpstr>Arel_pap_Sólyomszív</vt:lpstr>
      <vt:lpstr>Arel_pap_Sólyomcsőr</vt:lpstr>
      <vt:lpstr>Arel_pap_Sólyomkarom</vt:lpstr>
      <vt:lpstr>Darton_pap</vt:lpstr>
      <vt:lpstr>Della_pap</vt:lpstr>
      <vt:lpstr>Doldzsah_pap</vt:lpstr>
      <vt:lpstr>Domvik_pap</vt:lpstr>
      <vt:lpstr>Dreina_pap_Pol</vt:lpstr>
      <vt:lpstr>Dreina_pap_Gazd</vt:lpstr>
      <vt:lpstr>Dreina_pap_Jog</vt:lpstr>
      <vt:lpstr>Dzsah_pap</vt:lpstr>
      <vt:lpstr>Ellana_papnő</vt:lpstr>
      <vt:lpstr>Galradzsa_pap</vt:lpstr>
      <vt:lpstr>Gilron_pap_Mérnök</vt:lpstr>
      <vt:lpstr>Gilron_pap_Segéd</vt:lpstr>
      <vt:lpstr>Krad_pap</vt:lpstr>
      <vt:lpstr>Kyel_pap</vt:lpstr>
      <vt:lpstr>Morgena_pap_Angyal</vt:lpstr>
      <vt:lpstr>Morgena_pap_Farkas</vt:lpstr>
      <vt:lpstr>Noir_pap_Befogadott</vt:lpstr>
      <vt:lpstr>Noir_pap_Bálványtagadó</vt:lpstr>
      <vt:lpstr>Orwella_Papnő_ANH</vt:lpstr>
      <vt:lpstr>Orwella_Papnő_PE</vt:lpstr>
      <vt:lpstr>Ranagol_pap</vt:lpstr>
      <vt:lpstr>Ranil_pap</vt:lpstr>
      <vt:lpstr>Sámán_pap_Leutaril</vt:lpstr>
      <vt:lpstr>Sámán_pap_Ramkir</vt:lpstr>
      <vt:lpstr>Sámán_pap_Tomatis</vt:lpstr>
      <vt:lpstr>Sogron_pap_Lángvihar</vt:lpstr>
      <vt:lpstr>Sogron_pap_Őst.Urai</vt:lpstr>
      <vt:lpstr>Tharr_pap_Khótorr</vt:lpstr>
      <vt:lpstr>Tharr_pap_Quessor</vt:lpstr>
      <vt:lpstr>Tharr_pap_Sanquinator</vt:lpstr>
      <vt:lpstr>Kadal_pap</vt:lpstr>
      <vt:lpstr>Tooma_pap</vt:lpstr>
      <vt:lpstr>Paplovag</vt:lpstr>
      <vt:lpstr>Darton_paplovag</vt:lpstr>
      <vt:lpstr>Dervis</vt:lpstr>
      <vt:lpstr>Domvik_bosz.vadász</vt:lpstr>
      <vt:lpstr>Domvik_paplovag</vt:lpstr>
      <vt:lpstr>Dreina_paplovag</vt:lpstr>
      <vt:lpstr>Krad_paplovag</vt:lpstr>
      <vt:lpstr>Orwella_paplovag</vt:lpstr>
      <vt:lpstr>Ranagol_paplovag</vt:lpstr>
      <vt:lpstr>Ranil_paplovag</vt:lpstr>
      <vt:lpstr>Uwel_paplovag</vt:lpstr>
      <vt:lpstr>Harcművész</vt:lpstr>
      <vt:lpstr>Kardművész</vt:lpstr>
      <vt:lpstr>Boszorkány</vt:lpstr>
      <vt:lpstr>Boszorkánymester</vt:lpstr>
      <vt:lpstr>Tűzvarázsló</vt:lpstr>
      <vt:lpstr>Pusztító_Tűz_Útja</vt:lpstr>
      <vt:lpstr>Fény_Ösvénye</vt:lpstr>
      <vt:lpstr>Sorgon_Útja</vt:lpstr>
      <vt:lpstr>Főnix</vt:lpstr>
      <vt:lpstr>Tűz_Tápláló</vt:lpstr>
      <vt:lpstr>Varázsló</vt:lpstr>
      <vt:lpstr>Nomád_sámán</vt:lpstr>
      <vt:lpstr>Szerzetes</vt:lpstr>
      <vt:lpstr>Szerzetes_Benignus</vt:lpstr>
      <vt:lpstr>Szerzetes_Pyarronita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Anyu</dc:creator>
  <cp:lastModifiedBy>Microsoft Office User</cp:lastModifiedBy>
  <cp:lastPrinted>2011-12-30T20:06:18Z</cp:lastPrinted>
  <dcterms:created xsi:type="dcterms:W3CDTF">2011-12-05T08:48:46Z</dcterms:created>
  <dcterms:modified xsi:type="dcterms:W3CDTF">2017-09-05T19:47:06Z</dcterms:modified>
</cp:coreProperties>
</file>