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unka\Excel\Méregkeverés\"/>
    </mc:Choice>
  </mc:AlternateContent>
  <bookViews>
    <workbookView xWindow="0" yWindow="0" windowWidth="28800" windowHeight="12330"/>
  </bookViews>
  <sheets>
    <sheet name="Számolás" sheetId="1" r:id="rId1"/>
    <sheet name="Adatok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2" l="1"/>
  <c r="S28" i="2"/>
  <c r="S27" i="2"/>
  <c r="S21" i="2"/>
  <c r="S20" i="2"/>
  <c r="S14" i="2"/>
  <c r="S13" i="2"/>
  <c r="S7" i="2"/>
  <c r="S6" i="2"/>
  <c r="S5" i="2"/>
  <c r="B26" i="2"/>
  <c r="B25" i="2"/>
  <c r="B27" i="2" l="1"/>
  <c r="S20" i="1"/>
  <c r="AE20" i="1" s="1"/>
  <c r="Y20" i="1" l="1"/>
  <c r="AC20" i="1"/>
  <c r="AK20" i="1"/>
  <c r="AO20" i="1"/>
  <c r="AS20" i="1"/>
  <c r="AG20" i="1"/>
  <c r="AA20" i="1"/>
  <c r="AI20" i="1"/>
  <c r="AM20" i="1"/>
  <c r="AQ20" i="1"/>
  <c r="AU20" i="1"/>
  <c r="L68" i="2"/>
  <c r="H68" i="2"/>
  <c r="E68" i="2"/>
  <c r="B68" i="2"/>
  <c r="S26" i="2"/>
  <c r="S19" i="2"/>
  <c r="S12" i="2"/>
  <c r="S4" i="2"/>
  <c r="AH15" i="1"/>
  <c r="AR17" i="1" l="1"/>
  <c r="AR18" i="1" s="1"/>
  <c r="S21" i="1" l="1"/>
  <c r="P10" i="2"/>
  <c r="AH16" i="1" s="1"/>
  <c r="Z18" i="1" s="1"/>
  <c r="L14" i="2"/>
  <c r="AO21" i="1" l="1"/>
  <c r="AG21" i="1"/>
  <c r="Y21" i="1"/>
  <c r="AI21" i="1"/>
  <c r="AU21" i="1"/>
  <c r="AM21" i="1"/>
  <c r="AE21" i="1"/>
  <c r="AS21" i="1"/>
  <c r="AK21" i="1"/>
  <c r="AC21" i="1"/>
  <c r="AQ21" i="1"/>
  <c r="AA21" i="1"/>
  <c r="P15" i="1"/>
  <c r="AD17" i="1" s="1"/>
</calcChain>
</file>

<file path=xl/comments1.xml><?xml version="1.0" encoding="utf-8"?>
<comments xmlns="http://schemas.openxmlformats.org/spreadsheetml/2006/main">
  <authors>
    <author>Simon János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A kék mezőknél pipával jelöljük, hogy milyen képzettség, illetve felszerelés áll rendelkezésre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  <charset val="238"/>
          </rPr>
          <t>A zöld mezőknél válassz a legördülő listákból!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  <charset val="238"/>
          </rPr>
          <t>Csak egy típust válassz!</t>
        </r>
      </text>
    </comment>
    <comment ref="AG9" authorId="0" shapeId="0">
      <text>
        <r>
          <rPr>
            <b/>
            <sz val="9"/>
            <color indexed="81"/>
            <rFont val="Tahoma"/>
            <family val="2"/>
            <charset val="238"/>
          </rPr>
          <t>A másodlagos hatás legfeljebb az elsődleges hatásnál eggyel gyengébb lehet.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  <charset val="238"/>
          </rPr>
          <t>Csak egy típust válassz!</t>
        </r>
      </text>
    </comment>
    <comment ref="AG10" authorId="0" shapeId="0">
      <text>
        <r>
          <rPr>
            <b/>
            <sz val="9"/>
            <color indexed="81"/>
            <rFont val="Tahoma"/>
            <family val="2"/>
            <charset val="238"/>
          </rPr>
          <t>A másodlagos hatás legfeljebb az elsődleges hatásnál eggyel gyengébb lehet.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  <charset val="238"/>
          </rPr>
          <t>Csak egy típust válassz!</t>
        </r>
      </text>
    </comment>
    <comment ref="AG11" authorId="0" shapeId="0">
      <text>
        <r>
          <rPr>
            <b/>
            <sz val="9"/>
            <color indexed="81"/>
            <rFont val="Tahoma"/>
            <family val="2"/>
            <charset val="238"/>
          </rPr>
          <t>A másodlagos hatás legfeljebb az elsődleges hatásnál eggyel gyengébb lehet.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38"/>
          </rPr>
          <t>Csak egy típust válassz!</t>
        </r>
      </text>
    </comment>
    <comment ref="AG12" authorId="0" shapeId="0">
      <text>
        <r>
          <rPr>
            <b/>
            <sz val="9"/>
            <color indexed="81"/>
            <rFont val="Tahoma"/>
            <family val="2"/>
            <charset val="238"/>
          </rPr>
          <t>A másodlagos hatás legfeljebb az elsődleges hatásnál eggyel gyengébb lehet.</t>
        </r>
      </text>
    </comment>
    <comment ref="AH13" authorId="0" shapeId="0">
      <text>
        <r>
          <rPr>
            <b/>
            <sz val="9"/>
            <color indexed="81"/>
            <rFont val="Tahoma"/>
            <family val="2"/>
            <charset val="238"/>
          </rPr>
          <t>Csak az Fp veszteség számát kell beírni!</t>
        </r>
      </text>
    </comment>
    <comment ref="AK17" authorId="0" shapeId="0">
      <text>
        <r>
          <rPr>
            <b/>
            <sz val="9"/>
            <color indexed="81"/>
            <rFont val="Tahoma"/>
            <family val="2"/>
            <charset val="238"/>
          </rPr>
          <t>Az ár 1 adagra vonatkozik!</t>
        </r>
      </text>
    </comment>
    <comment ref="AK18" authorId="0" shapeId="0">
      <text>
        <r>
          <rPr>
            <b/>
            <sz val="9"/>
            <color indexed="81"/>
            <rFont val="Tahoma"/>
            <family val="2"/>
            <charset val="238"/>
          </rPr>
          <t>Az ár 1 adagra vonatkozik!</t>
        </r>
      </text>
    </comment>
  </commentList>
</comments>
</file>

<file path=xl/sharedStrings.xml><?xml version="1.0" encoding="utf-8"?>
<sst xmlns="http://schemas.openxmlformats.org/spreadsheetml/2006/main" count="401" uniqueCount="167">
  <si>
    <t>Képzettség</t>
  </si>
  <si>
    <t>"KN" - pont</t>
  </si>
  <si>
    <t>Van?</t>
  </si>
  <si>
    <t>Méregkeverés Af</t>
  </si>
  <si>
    <t>Méregkeverés Mf</t>
  </si>
  <si>
    <t>Herbalizmus Af</t>
  </si>
  <si>
    <t>Herbalizmus Mf</t>
  </si>
  <si>
    <t>Élettan Af</t>
  </si>
  <si>
    <t>Élettan Mf</t>
  </si>
  <si>
    <t>A mérgek típusai, alaphatások</t>
  </si>
  <si>
    <t>Semmi</t>
  </si>
  <si>
    <t>Émelygés</t>
  </si>
  <si>
    <t>Gyengeség</t>
  </si>
  <si>
    <t>Bódulat</t>
  </si>
  <si>
    <t>Görcs</t>
  </si>
  <si>
    <t>Kábultság</t>
  </si>
  <si>
    <t>Fp vesztés</t>
  </si>
  <si>
    <t>Alvás</t>
  </si>
  <si>
    <t>Bénultság</t>
  </si>
  <si>
    <t>Ájulás</t>
  </si>
  <si>
    <t>Halál</t>
  </si>
  <si>
    <t>I. Emésztőrendszerre ható</t>
  </si>
  <si>
    <t>II. Idegrendszerre ható</t>
  </si>
  <si>
    <t>III. Izomrendszerre ható</t>
  </si>
  <si>
    <t>IV. Keringési rendszerre ható</t>
  </si>
  <si>
    <t>-</t>
  </si>
  <si>
    <t>Alkímia Af</t>
  </si>
  <si>
    <t>Alkímia Mf</t>
  </si>
  <si>
    <t>Kikeverés Nehézsége</t>
  </si>
  <si>
    <t>A méreg elkészítéséhez rendelkezésre álló felszerelés</t>
  </si>
  <si>
    <t xml:space="preserve">                   2 - Alap felszerelés</t>
  </si>
  <si>
    <t xml:space="preserve">                   3 - Bővített felszerelés</t>
  </si>
  <si>
    <t xml:space="preserve">                   4 - Laboratórium</t>
  </si>
  <si>
    <t xml:space="preserve">                   1 - Alkalmi felszerelés</t>
  </si>
  <si>
    <t>A méreg készítő keveréshez szükséges képzettsége</t>
  </si>
  <si>
    <t xml:space="preserve">                   Alkímia Af</t>
  </si>
  <si>
    <t xml:space="preserve">                   Alkímia Mf</t>
  </si>
  <si>
    <t>Méreg típusa</t>
  </si>
  <si>
    <t>Els. Hatás</t>
  </si>
  <si>
    <t>Másod hatás</t>
  </si>
  <si>
    <t>I.</t>
  </si>
  <si>
    <t>II.</t>
  </si>
  <si>
    <t>III.</t>
  </si>
  <si>
    <t>IV.</t>
  </si>
  <si>
    <t>Rosszullét</t>
  </si>
  <si>
    <t>Méreg fajtája</t>
  </si>
  <si>
    <t>Étel- és italméregek</t>
  </si>
  <si>
    <t>Fegyvermérgek</t>
  </si>
  <si>
    <t>KN</t>
  </si>
  <si>
    <t>Gáz vagy légimérgek</t>
  </si>
  <si>
    <t>Kontaktmérgek</t>
  </si>
  <si>
    <t>Több komponensű mérgek</t>
  </si>
  <si>
    <t>Több komponensűnél hány komp.:</t>
  </si>
  <si>
    <t>Méreg hatásának kezdete</t>
  </si>
  <si>
    <t>Hatás kezdete</t>
  </si>
  <si>
    <t>Azonnali (K10 szegmens)</t>
  </si>
  <si>
    <t>Gyors (K6 kör)</t>
  </si>
  <si>
    <t>Lassú (2K6 óra)</t>
  </si>
  <si>
    <t>Nagyon lassú (K6 nap)</t>
  </si>
  <si>
    <t>Lappangó (speciális)</t>
  </si>
  <si>
    <t>Méreg hatásának időtartama</t>
  </si>
  <si>
    <t>Hatás időtartama</t>
  </si>
  <si>
    <t>Egyszeri (1 kör)</t>
  </si>
  <si>
    <t>Rövid ideig ható (K6x10 perc)</t>
  </si>
  <si>
    <t>Közepes ideig ható (K6 óra)</t>
  </si>
  <si>
    <t>Hosszú ideig ható (K6 nap)</t>
  </si>
  <si>
    <t>Maradandó</t>
  </si>
  <si>
    <t>Hatás</t>
  </si>
  <si>
    <t>Méreg szintje</t>
  </si>
  <si>
    <t>Méreg szintje:</t>
  </si>
  <si>
    <t>1 (eg. próba +3)</t>
  </si>
  <si>
    <t>2 (eg. próba +2)</t>
  </si>
  <si>
    <t>3 (eg. próba +1)</t>
  </si>
  <si>
    <t>4 (eg. próba 0)</t>
  </si>
  <si>
    <t>5 (eg. próba -1)</t>
  </si>
  <si>
    <t>6 (eg. próba -2)</t>
  </si>
  <si>
    <t>7 (eg. próba -3)</t>
  </si>
  <si>
    <t>8 (eg. próba -4)</t>
  </si>
  <si>
    <t>9 (eg. próba -5)</t>
  </si>
  <si>
    <t>10 (eg. próba -6)</t>
  </si>
  <si>
    <t>11 (eg. próba -7)</t>
  </si>
  <si>
    <t>12 (eg. próba -8)</t>
  </si>
  <si>
    <t>13 (eg. próba -9)</t>
  </si>
  <si>
    <t>Milyen felszerelés szükséges - Alkímia képzettség nélkül</t>
  </si>
  <si>
    <t>Milyen felszerelés szükséges - Alkímia Af</t>
  </si>
  <si>
    <t>Milyen felszerelés szükséges - Alkímia Mf</t>
  </si>
  <si>
    <t>A méregkeverő vonatkozó képzettségei</t>
  </si>
  <si>
    <t>A méreg összesített KN száma:</t>
  </si>
  <si>
    <t>Készítő összes "KN" pontja:</t>
  </si>
  <si>
    <t>Válassz, milyen típusú mérget akarsz, milyen hatással.</t>
  </si>
  <si>
    <t>A méreg keveréséhez szükséges ASz:</t>
  </si>
  <si>
    <t>A méregkeverőnek</t>
  </si>
  <si>
    <t>elegendő felszerelése!</t>
  </si>
  <si>
    <t>A méregkeverőnek szükséges:</t>
  </si>
  <si>
    <t>Bővített felszerelés</t>
  </si>
  <si>
    <t>ASz</t>
  </si>
  <si>
    <t>Alkalmi felszerelés</t>
  </si>
  <si>
    <t>Alap felszerelés</t>
  </si>
  <si>
    <t>Laboratórium</t>
  </si>
  <si>
    <t>Nem képes elkészíteni</t>
  </si>
  <si>
    <t>Alkímia nélkül</t>
  </si>
  <si>
    <t>Milyen felszerelés kell?</t>
  </si>
  <si>
    <t>Van-e elegendő felszerelése?</t>
  </si>
  <si>
    <t>A méreg hatásai</t>
  </si>
  <si>
    <t>Mágia</t>
  </si>
  <si>
    <t>Cé</t>
  </si>
  <si>
    <t>Vé</t>
  </si>
  <si>
    <t>Té</t>
  </si>
  <si>
    <t>Ké</t>
  </si>
  <si>
    <t>Int.</t>
  </si>
  <si>
    <t>Aszt.</t>
  </si>
  <si>
    <t>Ake.</t>
  </si>
  <si>
    <t>Ügy.</t>
  </si>
  <si>
    <t>Gyor.</t>
  </si>
  <si>
    <t>Erő</t>
  </si>
  <si>
    <t>Állók</t>
  </si>
  <si>
    <t>Eredmény</t>
  </si>
  <si>
    <t>erő</t>
  </si>
  <si>
    <t>állókép</t>
  </si>
  <si>
    <t>gyors.</t>
  </si>
  <si>
    <t>ügy.</t>
  </si>
  <si>
    <t>ake</t>
  </si>
  <si>
    <t>aszt</t>
  </si>
  <si>
    <t>int</t>
  </si>
  <si>
    <t>ké</t>
  </si>
  <si>
    <t>té</t>
  </si>
  <si>
    <t>vé</t>
  </si>
  <si>
    <t>cé</t>
  </si>
  <si>
    <t>mágia</t>
  </si>
  <si>
    <t>nem</t>
  </si>
  <si>
    <t>igen</t>
  </si>
  <si>
    <t>I. kat.</t>
  </si>
  <si>
    <t>Alkímia felszerelés szintje (KN-től függ)</t>
  </si>
  <si>
    <r>
      <t xml:space="preserve">Minden méregkeverőhöz rendelünk egy számot, amit az olyan képzettségei határoznak meg, amelyek lehetővé teszik, illetve segítik a méregkeverést. Minden ilyen képzettségért kap valamennyi pontot, amik együttes számának nagyobbnak kell lennie, mint a méreg </t>
    </r>
    <r>
      <rPr>
        <b/>
        <sz val="12"/>
        <color theme="1"/>
        <rFont val="Times New Roman"/>
        <family val="1"/>
        <charset val="238"/>
      </rPr>
      <t>Kikeverési Nehézsége (KN).</t>
    </r>
  </si>
  <si>
    <r>
      <t>A</t>
    </r>
    <r>
      <rPr>
        <b/>
        <sz val="11"/>
        <color theme="1"/>
        <rFont val="Times New Roman"/>
        <family val="1"/>
        <charset val="238"/>
      </rPr>
      <t xml:space="preserve"> Kikeverési Nehézségtől (KN)</t>
    </r>
    <r>
      <rPr>
        <sz val="11"/>
        <color theme="1"/>
        <rFont val="Times New Roman"/>
        <family val="1"/>
        <charset val="238"/>
      </rPr>
      <t xml:space="preserve"> függ, hogy egy mérget milyen képzettségek ismeretében, és milyen felszerelés birtokában lehet kikeverni. Ez utóbbit határozza meg az </t>
    </r>
    <r>
      <rPr>
        <b/>
        <sz val="11"/>
        <color theme="1"/>
        <rFont val="Times New Roman"/>
        <family val="1"/>
        <charset val="238"/>
      </rPr>
      <t>Alkímia felszerelés Szintje (ASz)</t>
    </r>
    <r>
      <rPr>
        <sz val="11"/>
        <color theme="1"/>
        <rFont val="Times New Roman"/>
        <family val="1"/>
        <charset val="238"/>
      </rPr>
      <t>. Minél nagyobb a KN annál magasabb ASz kell a sikeres méregkeveréshez. Bizonyos KN szint után, már Alkímia képzettségre is szükség van.</t>
    </r>
  </si>
  <si>
    <t>II. kat.</t>
  </si>
  <si>
    <t>másodlagos hatás költség</t>
  </si>
  <si>
    <t>III. kat.</t>
  </si>
  <si>
    <t>IV. kat.</t>
  </si>
  <si>
    <t>Méreg ára</t>
  </si>
  <si>
    <t>I.kategória</t>
  </si>
  <si>
    <t>árszorzó</t>
  </si>
  <si>
    <t>II.kategória</t>
  </si>
  <si>
    <t>III.kategória</t>
  </si>
  <si>
    <t>IV.kategória</t>
  </si>
  <si>
    <t>Egy adag ára:</t>
  </si>
  <si>
    <t>Előállítási költség:</t>
  </si>
  <si>
    <t>Átlagos piaci ár:</t>
  </si>
  <si>
    <t>ezüst</t>
  </si>
  <si>
    <t>Méreg elnevezése:</t>
  </si>
  <si>
    <t>Méreg leírása:</t>
  </si>
  <si>
    <t>nyílvessző</t>
  </si>
  <si>
    <t>tőr</t>
  </si>
  <si>
    <t>rövidkard</t>
  </si>
  <si>
    <t>lovagkard</t>
  </si>
  <si>
    <t>hosszúkard</t>
  </si>
  <si>
    <t>szükséges adag</t>
  </si>
  <si>
    <t>Alkímia felszerelés szint</t>
  </si>
  <si>
    <t>FP kocka típus</t>
  </si>
  <si>
    <t>K6</t>
  </si>
  <si>
    <t>K10</t>
  </si>
  <si>
    <t>Fp vesztés kocka típusa:</t>
  </si>
  <si>
    <t>Kockák száma:</t>
  </si>
  <si>
    <t>Fp vesztés van?</t>
  </si>
  <si>
    <t>erős hatással</t>
  </si>
  <si>
    <t>gyenge hatással</t>
  </si>
  <si>
    <r>
      <t xml:space="preserve">Hogy eldöntsük ki milyen mérget keverhet ki, minden méreghez egy számot rendelünk, ami a méreg </t>
    </r>
    <r>
      <rPr>
        <b/>
        <sz val="12"/>
        <color theme="1"/>
        <rFont val="Times New Roman"/>
        <family val="1"/>
        <charset val="238"/>
      </rPr>
      <t>Kikeverési Nehézség</t>
    </r>
    <r>
      <rPr>
        <sz val="12"/>
        <color theme="1"/>
        <rFont val="Times New Roman"/>
        <family val="1"/>
        <charset val="238"/>
      </rPr>
      <t>e</t>
    </r>
    <r>
      <rPr>
        <b/>
        <sz val="12"/>
        <color theme="1"/>
        <rFont val="Times New Roman"/>
        <family val="1"/>
        <charset val="238"/>
      </rPr>
      <t xml:space="preserve"> (KN)</t>
    </r>
    <r>
      <rPr>
        <sz val="12"/>
        <color theme="1"/>
        <rFont val="Times New Roman"/>
        <family val="1"/>
        <charset val="238"/>
      </rPr>
      <t xml:space="preserve">. A mérgeknek ki kell választani egy fő hatást, ami sikertelen egészség próba esetén hat az áldozatra. E mellett minden méregnek van egy másodlagos hatása, ami sikeres egészség próba esetén hat. Az elsődleges hatás mellett a típusra jellemző kettővel alacsonyabb hatás jár ingyen. </t>
    </r>
    <r>
      <rPr>
        <b/>
        <sz val="12"/>
        <color theme="1"/>
        <rFont val="Times New Roman"/>
        <family val="1"/>
        <charset val="238"/>
      </rPr>
      <t>A másodlagos hatás legfeljebb az elsődleges hatásnál eggyel gyengébb lehet</t>
    </r>
    <r>
      <rPr>
        <sz val="12"/>
        <color theme="1"/>
        <rFont val="Times New Roman"/>
        <family val="1"/>
        <charset val="238"/>
      </rPr>
      <t xml:space="preserve"> (kivéve Fp vesztés).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</si>
</sst>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9" tint="0.59999389629810485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12"/>
      <color theme="4" tint="0.7999816888943144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B050"/>
      </bottom>
      <diagonal/>
    </border>
    <border>
      <left/>
      <right/>
      <top style="medium">
        <color indexed="64"/>
      </top>
      <bottom style="medium">
        <color rgb="FF00B050"/>
      </bottom>
      <diagonal/>
    </border>
    <border>
      <left/>
      <right style="medium">
        <color indexed="64"/>
      </right>
      <top style="medium">
        <color indexed="64"/>
      </top>
      <bottom style="medium">
        <color rgb="FF00B050"/>
      </bottom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 style="medium">
        <color rgb="FF00B050"/>
      </right>
      <top/>
      <bottom/>
      <diagonal/>
    </border>
    <border>
      <left/>
      <right style="medium">
        <color rgb="FF00B050"/>
      </right>
      <top/>
      <bottom style="medium">
        <color indexed="64"/>
      </bottom>
      <diagonal/>
    </border>
    <border>
      <left/>
      <right/>
      <top/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medium">
        <color rgb="FF00B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/>
      <right style="medium">
        <color rgb="FF00B05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B050"/>
      </left>
      <right/>
      <top style="medium">
        <color rgb="FF00B050"/>
      </top>
      <bottom style="thin">
        <color indexed="64"/>
      </bottom>
      <diagonal/>
    </border>
    <border>
      <left/>
      <right/>
      <top style="medium">
        <color rgb="FF00B050"/>
      </top>
      <bottom style="thin">
        <color indexed="64"/>
      </bottom>
      <diagonal/>
    </border>
    <border>
      <left/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0" xfId="0" applyFont="1" applyFill="1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NumberFormat="1"/>
    <xf numFmtId="12" fontId="0" fillId="0" borderId="0" xfId="0" applyNumberForma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4" xfId="0" applyBorder="1"/>
    <xf numFmtId="12" fontId="0" fillId="0" borderId="0" xfId="0" applyNumberFormat="1" applyBorder="1"/>
    <xf numFmtId="0" fontId="0" fillId="0" borderId="0" xfId="0" applyNumberFormat="1" applyBorder="1"/>
    <xf numFmtId="0" fontId="0" fillId="0" borderId="10" xfId="0" applyNumberFormat="1" applyBorder="1"/>
    <xf numFmtId="0" fontId="0" fillId="0" borderId="25" xfId="0" applyBorder="1"/>
    <xf numFmtId="0" fontId="0" fillId="0" borderId="12" xfId="0" applyNumberFormat="1" applyBorder="1"/>
    <xf numFmtId="12" fontId="0" fillId="0" borderId="12" xfId="0" applyNumberFormat="1" applyBorder="1"/>
    <xf numFmtId="0" fontId="0" fillId="0" borderId="12" xfId="0" applyNumberFormat="1" applyFill="1" applyBorder="1"/>
    <xf numFmtId="0" fontId="0" fillId="0" borderId="13" xfId="0" applyNumberFormat="1" applyBorder="1"/>
    <xf numFmtId="0" fontId="2" fillId="0" borderId="38" xfId="0" applyFont="1" applyFill="1" applyBorder="1" applyAlignment="1"/>
    <xf numFmtId="0" fontId="2" fillId="0" borderId="39" xfId="0" applyFont="1" applyFill="1" applyBorder="1" applyAlignment="1"/>
    <xf numFmtId="0" fontId="4" fillId="0" borderId="39" xfId="0" applyFont="1" applyFill="1" applyBorder="1" applyAlignment="1"/>
    <xf numFmtId="0" fontId="2" fillId="0" borderId="39" xfId="0" applyFont="1" applyBorder="1"/>
    <xf numFmtId="0" fontId="2" fillId="0" borderId="40" xfId="0" applyFont="1" applyBorder="1"/>
    <xf numFmtId="0" fontId="2" fillId="0" borderId="45" xfId="0" applyFont="1" applyBorder="1"/>
    <xf numFmtId="12" fontId="0" fillId="0" borderId="0" xfId="0" applyNumberFormat="1" applyFill="1" applyBorder="1" applyAlignment="1">
      <alignment horizontal="right"/>
    </xf>
    <xf numFmtId="0" fontId="1" fillId="0" borderId="55" xfId="0" applyFont="1" applyBorder="1"/>
    <xf numFmtId="0" fontId="0" fillId="0" borderId="56" xfId="0" applyBorder="1"/>
    <xf numFmtId="0" fontId="1" fillId="0" borderId="57" xfId="0" applyFont="1" applyBorder="1"/>
    <xf numFmtId="0" fontId="1" fillId="0" borderId="58" xfId="0" applyFont="1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2" fillId="0" borderId="1" xfId="0" applyFont="1" applyBorder="1"/>
    <xf numFmtId="0" fontId="3" fillId="0" borderId="65" xfId="0" applyFont="1" applyBorder="1"/>
    <xf numFmtId="0" fontId="2" fillId="0" borderId="5" xfId="0" applyFont="1" applyBorder="1"/>
    <xf numFmtId="0" fontId="2" fillId="0" borderId="66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6" fillId="4" borderId="49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3" fillId="0" borderId="45" xfId="0" applyFont="1" applyBorder="1" applyAlignment="1">
      <alignment horizontal="left"/>
    </xf>
    <xf numFmtId="0" fontId="3" fillId="0" borderId="64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6" fillId="4" borderId="35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left"/>
    </xf>
    <xf numFmtId="0" fontId="3" fillId="0" borderId="6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/>
    </xf>
    <xf numFmtId="0" fontId="2" fillId="0" borderId="49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12" fontId="2" fillId="0" borderId="51" xfId="0" applyNumberFormat="1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12" fontId="2" fillId="0" borderId="1" xfId="0" applyNumberFormat="1" applyFont="1" applyBorder="1" applyAlignment="1">
      <alignment horizontal="center"/>
    </xf>
    <xf numFmtId="0" fontId="1" fillId="0" borderId="35" xfId="0" applyFont="1" applyBorder="1"/>
    <xf numFmtId="0" fontId="0" fillId="0" borderId="67" xfId="0" applyBorder="1"/>
    <xf numFmtId="0" fontId="0" fillId="0" borderId="68" xfId="0" applyBorder="1"/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3" borderId="69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2" fillId="3" borderId="70" xfId="0" applyFont="1" applyFill="1" applyBorder="1" applyAlignment="1">
      <alignment horizontal="center"/>
    </xf>
    <xf numFmtId="0" fontId="2" fillId="3" borderId="71" xfId="0" applyFont="1" applyFill="1" applyBorder="1" applyAlignment="1">
      <alignment horizontal="center"/>
    </xf>
    <xf numFmtId="0" fontId="0" fillId="0" borderId="73" xfId="0" applyBorder="1"/>
    <xf numFmtId="0" fontId="1" fillId="0" borderId="74" xfId="0" applyFont="1" applyBorder="1"/>
    <xf numFmtId="0" fontId="1" fillId="0" borderId="72" xfId="0" applyFont="1" applyFill="1" applyBorder="1"/>
  </cellXfs>
  <cellStyles count="1">
    <cellStyle name="Normál" xfId="0" builtinId="0"/>
  </cellStyles>
  <dxfs count="5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353"/>
        </patternFill>
      </fill>
    </dxf>
    <dxf>
      <fill>
        <patternFill>
          <bgColor rgb="FFFF5B5B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353"/>
        </patternFill>
      </fill>
    </dxf>
    <dxf>
      <fill>
        <patternFill>
          <bgColor rgb="FFFF5B5B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353"/>
        </patternFill>
      </fill>
    </dxf>
    <dxf>
      <fill>
        <patternFill>
          <bgColor rgb="FFFF5B5B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353"/>
        </patternFill>
      </fill>
    </dxf>
    <dxf>
      <fill>
        <patternFill>
          <bgColor rgb="FFFF5B5B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5353"/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P9" lockText="1" noThreeD="1"/>
</file>

<file path=xl/ctrlProps/ctrlProp10.xml><?xml version="1.0" encoding="utf-8"?>
<formControlPr xmlns="http://schemas.microsoft.com/office/spreadsheetml/2009/9/main" objectType="CheckBox" fmlaLink="P20" lockText="1" noThreeD="1"/>
</file>

<file path=xl/ctrlProps/ctrlProp11.xml><?xml version="1.0" encoding="utf-8"?>
<formControlPr xmlns="http://schemas.microsoft.com/office/spreadsheetml/2009/9/main" objectType="CheckBox" fmlaLink="P22" lockText="1" noThreeD="1"/>
</file>

<file path=xl/ctrlProps/ctrlProp12.xml><?xml version="1.0" encoding="utf-8"?>
<formControlPr xmlns="http://schemas.microsoft.com/office/spreadsheetml/2009/9/main" objectType="CheckBox" fmlaLink="P23" lockText="1" noThreeD="1"/>
</file>

<file path=xl/ctrlProps/ctrlProp2.xml><?xml version="1.0" encoding="utf-8"?>
<formControlPr xmlns="http://schemas.microsoft.com/office/spreadsheetml/2009/9/main" objectType="CheckBox" fmlaLink="P10" lockText="1" noThreeD="1"/>
</file>

<file path=xl/ctrlProps/ctrlProp3.xml><?xml version="1.0" encoding="utf-8"?>
<formControlPr xmlns="http://schemas.microsoft.com/office/spreadsheetml/2009/9/main" objectType="CheckBox" fmlaLink="P11" lockText="1" noThreeD="1"/>
</file>

<file path=xl/ctrlProps/ctrlProp4.xml><?xml version="1.0" encoding="utf-8"?>
<formControlPr xmlns="http://schemas.microsoft.com/office/spreadsheetml/2009/9/main" objectType="CheckBox" fmlaLink="P12" lockText="1" noThreeD="1"/>
</file>

<file path=xl/ctrlProps/ctrlProp5.xml><?xml version="1.0" encoding="utf-8"?>
<formControlPr xmlns="http://schemas.microsoft.com/office/spreadsheetml/2009/9/main" objectType="CheckBox" fmlaLink="P13" lockText="1" noThreeD="1"/>
</file>

<file path=xl/ctrlProps/ctrlProp6.xml><?xml version="1.0" encoding="utf-8"?>
<formControlPr xmlns="http://schemas.microsoft.com/office/spreadsheetml/2009/9/main" objectType="CheckBox" fmlaLink="P14" lockText="1" noThreeD="1"/>
</file>

<file path=xl/ctrlProps/ctrlProp7.xml><?xml version="1.0" encoding="utf-8"?>
<formControlPr xmlns="http://schemas.microsoft.com/office/spreadsheetml/2009/9/main" objectType="CheckBox" fmlaLink="P17" lockText="1" noThreeD="1"/>
</file>

<file path=xl/ctrlProps/ctrlProp8.xml><?xml version="1.0" encoding="utf-8"?>
<formControlPr xmlns="http://schemas.microsoft.com/office/spreadsheetml/2009/9/main" objectType="CheckBox" fmlaLink="P18" lockText="1" noThreeD="1"/>
</file>

<file path=xl/ctrlProps/ctrlProp9.xml><?xml version="1.0" encoding="utf-8"?>
<formControlPr xmlns="http://schemas.microsoft.com/office/spreadsheetml/2009/9/main" objectType="CheckBox" fmlaLink="P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190500</xdr:rowOff>
        </xdr:from>
        <xdr:to>
          <xdr:col>17</xdr:col>
          <xdr:colOff>85725</xdr:colOff>
          <xdr:row>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8</xdr:row>
          <xdr:rowOff>180975</xdr:rowOff>
        </xdr:from>
        <xdr:to>
          <xdr:col>17</xdr:col>
          <xdr:colOff>85725</xdr:colOff>
          <xdr:row>9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9</xdr:row>
          <xdr:rowOff>190500</xdr:rowOff>
        </xdr:from>
        <xdr:to>
          <xdr:col>17</xdr:col>
          <xdr:colOff>85725</xdr:colOff>
          <xdr:row>11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10</xdr:row>
          <xdr:rowOff>180975</xdr:rowOff>
        </xdr:from>
        <xdr:to>
          <xdr:col>17</xdr:col>
          <xdr:colOff>85725</xdr:colOff>
          <xdr:row>11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11</xdr:row>
          <xdr:rowOff>190500</xdr:rowOff>
        </xdr:from>
        <xdr:to>
          <xdr:col>17</xdr:col>
          <xdr:colOff>85725</xdr:colOff>
          <xdr:row>12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12</xdr:row>
          <xdr:rowOff>180975</xdr:rowOff>
        </xdr:from>
        <xdr:to>
          <xdr:col>17</xdr:col>
          <xdr:colOff>85725</xdr:colOff>
          <xdr:row>13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15</xdr:row>
          <xdr:rowOff>190500</xdr:rowOff>
        </xdr:from>
        <xdr:to>
          <xdr:col>17</xdr:col>
          <xdr:colOff>85725</xdr:colOff>
          <xdr:row>17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16</xdr:row>
          <xdr:rowOff>180975</xdr:rowOff>
        </xdr:from>
        <xdr:to>
          <xdr:col>17</xdr:col>
          <xdr:colOff>85725</xdr:colOff>
          <xdr:row>17</xdr:row>
          <xdr:rowOff>200025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17</xdr:row>
          <xdr:rowOff>190500</xdr:rowOff>
        </xdr:from>
        <xdr:to>
          <xdr:col>17</xdr:col>
          <xdr:colOff>85725</xdr:colOff>
          <xdr:row>19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18</xdr:row>
          <xdr:rowOff>180975</xdr:rowOff>
        </xdr:from>
        <xdr:to>
          <xdr:col>17</xdr:col>
          <xdr:colOff>85725</xdr:colOff>
          <xdr:row>19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20</xdr:row>
          <xdr:rowOff>190500</xdr:rowOff>
        </xdr:from>
        <xdr:to>
          <xdr:col>17</xdr:col>
          <xdr:colOff>85725</xdr:colOff>
          <xdr:row>21</xdr:row>
          <xdr:rowOff>200025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21</xdr:row>
          <xdr:rowOff>180975</xdr:rowOff>
        </xdr:from>
        <xdr:to>
          <xdr:col>17</xdr:col>
          <xdr:colOff>85725</xdr:colOff>
          <xdr:row>22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1"/>
  <sheetViews>
    <sheetView tabSelected="1" view="pageLayout" zoomScaleNormal="100" workbookViewId="0">
      <selection sqref="A1:R6"/>
    </sheetView>
  </sheetViews>
  <sheetFormatPr defaultColWidth="9.140625" defaultRowHeight="15.75" x14ac:dyDescent="0.25"/>
  <cols>
    <col min="1" max="18" width="2.7109375" style="1" customWidth="1"/>
    <col min="19" max="19" width="3" style="1" customWidth="1"/>
    <col min="20" max="20" width="2.85546875" style="1" customWidth="1"/>
    <col min="21" max="21" width="3.42578125" style="1" customWidth="1"/>
    <col min="22" max="22" width="3.140625" style="1" customWidth="1"/>
    <col min="23" max="23" width="3" style="1" customWidth="1"/>
    <col min="24" max="24" width="2.7109375" style="1" customWidth="1"/>
    <col min="25" max="25" width="3.7109375" style="1" customWidth="1"/>
    <col min="26" max="26" width="3.42578125" style="1" customWidth="1"/>
    <col min="27" max="27" width="3.140625" style="1" customWidth="1"/>
    <col min="28" max="28" width="3" style="1" customWidth="1"/>
    <col min="29" max="29" width="3.5703125" style="1" customWidth="1"/>
    <col min="30" max="30" width="2.5703125" style="1" customWidth="1"/>
    <col min="31" max="31" width="3.28515625" style="1" customWidth="1"/>
    <col min="32" max="46" width="2.7109375" style="1" customWidth="1"/>
    <col min="47" max="47" width="2" style="1" customWidth="1"/>
    <col min="48" max="48" width="2.85546875" style="1" customWidth="1"/>
    <col min="49" max="49" width="2.5703125" style="1" customWidth="1"/>
    <col min="50" max="252" width="2.7109375" style="1" customWidth="1"/>
    <col min="253" max="16384" width="9.140625" style="1"/>
  </cols>
  <sheetData>
    <row r="1" spans="1:48" ht="15.75" customHeight="1" x14ac:dyDescent="0.25">
      <c r="A1" s="53" t="s">
        <v>133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5"/>
      <c r="S1" s="53" t="s">
        <v>166</v>
      </c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5"/>
    </row>
    <row r="2" spans="1:48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  <c r="S2" s="56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8"/>
    </row>
    <row r="3" spans="1:48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  <c r="S3" s="56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8"/>
    </row>
    <row r="4" spans="1:48" x14ac:dyDescent="0.25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8"/>
      <c r="S4" s="56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8"/>
    </row>
    <row r="5" spans="1:48" x14ac:dyDescent="0.25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  <c r="S5" s="56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8"/>
    </row>
    <row r="6" spans="1:48" ht="16.5" thickBot="1" x14ac:dyDescent="0.3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74"/>
      <c r="S6" s="59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8"/>
    </row>
    <row r="7" spans="1:48" x14ac:dyDescent="0.25">
      <c r="A7" s="72" t="s">
        <v>86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2" t="s">
        <v>89</v>
      </c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110"/>
      <c r="AK7" s="96" t="s">
        <v>45</v>
      </c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8"/>
    </row>
    <row r="8" spans="1:48" x14ac:dyDescent="0.25">
      <c r="A8" s="61" t="s">
        <v>0</v>
      </c>
      <c r="B8" s="62"/>
      <c r="C8" s="62"/>
      <c r="D8" s="62"/>
      <c r="E8" s="62"/>
      <c r="F8" s="62"/>
      <c r="G8" s="62"/>
      <c r="H8" s="62"/>
      <c r="I8" s="62"/>
      <c r="J8" s="63"/>
      <c r="K8" s="64" t="s">
        <v>1</v>
      </c>
      <c r="L8" s="62"/>
      <c r="M8" s="62"/>
      <c r="N8" s="62"/>
      <c r="O8" s="63"/>
      <c r="P8" s="65" t="s">
        <v>2</v>
      </c>
      <c r="Q8" s="65"/>
      <c r="R8" s="64"/>
      <c r="S8" s="107" t="s">
        <v>37</v>
      </c>
      <c r="T8" s="108"/>
      <c r="U8" s="108"/>
      <c r="V8" s="108"/>
      <c r="W8" s="108"/>
      <c r="X8" s="108"/>
      <c r="Y8" s="108"/>
      <c r="Z8" s="108"/>
      <c r="AA8" s="108"/>
      <c r="AB8" s="108"/>
      <c r="AC8" s="108" t="s">
        <v>38</v>
      </c>
      <c r="AD8" s="108"/>
      <c r="AE8" s="108"/>
      <c r="AF8" s="108"/>
      <c r="AG8" s="108" t="s">
        <v>39</v>
      </c>
      <c r="AH8" s="108"/>
      <c r="AI8" s="108"/>
      <c r="AJ8" s="109"/>
      <c r="AK8" s="99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100"/>
    </row>
    <row r="9" spans="1:48" ht="16.5" thickBot="1" x14ac:dyDescent="0.3">
      <c r="A9" s="66" t="s">
        <v>3</v>
      </c>
      <c r="B9" s="67"/>
      <c r="C9" s="67"/>
      <c r="D9" s="67"/>
      <c r="E9" s="67"/>
      <c r="F9" s="67"/>
      <c r="G9" s="67"/>
      <c r="H9" s="67"/>
      <c r="I9" s="67"/>
      <c r="J9" s="68"/>
      <c r="K9" s="69">
        <v>100</v>
      </c>
      <c r="L9" s="69"/>
      <c r="M9" s="69"/>
      <c r="N9" s="69"/>
      <c r="O9" s="69"/>
      <c r="P9" s="70" t="b">
        <v>0</v>
      </c>
      <c r="Q9" s="70"/>
      <c r="R9" s="71"/>
      <c r="S9" s="75" t="s">
        <v>21</v>
      </c>
      <c r="T9" s="76"/>
      <c r="U9" s="76"/>
      <c r="V9" s="76"/>
      <c r="W9" s="76"/>
      <c r="X9" s="76"/>
      <c r="Y9" s="76"/>
      <c r="Z9" s="76"/>
      <c r="AA9" s="76"/>
      <c r="AB9" s="76"/>
      <c r="AC9" s="77"/>
      <c r="AD9" s="77"/>
      <c r="AE9" s="77"/>
      <c r="AF9" s="77"/>
      <c r="AG9" s="77"/>
      <c r="AH9" s="77"/>
      <c r="AI9" s="77"/>
      <c r="AJ9" s="100"/>
      <c r="AK9" s="101" t="s">
        <v>52</v>
      </c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6"/>
    </row>
    <row r="10" spans="1:48" x14ac:dyDescent="0.25">
      <c r="A10" s="66" t="s">
        <v>4</v>
      </c>
      <c r="B10" s="67"/>
      <c r="C10" s="67"/>
      <c r="D10" s="67"/>
      <c r="E10" s="67"/>
      <c r="F10" s="67"/>
      <c r="G10" s="67"/>
      <c r="H10" s="67"/>
      <c r="I10" s="67"/>
      <c r="J10" s="68"/>
      <c r="K10" s="69">
        <v>200</v>
      </c>
      <c r="L10" s="69"/>
      <c r="M10" s="69"/>
      <c r="N10" s="69"/>
      <c r="O10" s="69"/>
      <c r="P10" s="70" t="b">
        <v>0</v>
      </c>
      <c r="Q10" s="70"/>
      <c r="R10" s="71"/>
      <c r="S10" s="75" t="s">
        <v>22</v>
      </c>
      <c r="T10" s="76"/>
      <c r="U10" s="76"/>
      <c r="V10" s="76"/>
      <c r="W10" s="76"/>
      <c r="X10" s="76"/>
      <c r="Y10" s="76"/>
      <c r="Z10" s="76"/>
      <c r="AA10" s="76"/>
      <c r="AB10" s="76"/>
      <c r="AC10" s="77"/>
      <c r="AD10" s="77"/>
      <c r="AE10" s="77"/>
      <c r="AF10" s="77"/>
      <c r="AG10" s="77"/>
      <c r="AH10" s="77"/>
      <c r="AI10" s="77"/>
      <c r="AJ10" s="100"/>
      <c r="AK10" s="83" t="s">
        <v>53</v>
      </c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103"/>
    </row>
    <row r="11" spans="1:48" ht="16.5" thickBot="1" x14ac:dyDescent="0.3">
      <c r="A11" s="66" t="s">
        <v>5</v>
      </c>
      <c r="B11" s="67"/>
      <c r="C11" s="67"/>
      <c r="D11" s="67"/>
      <c r="E11" s="67"/>
      <c r="F11" s="67"/>
      <c r="G11" s="67"/>
      <c r="H11" s="67"/>
      <c r="I11" s="67"/>
      <c r="J11" s="68"/>
      <c r="K11" s="69">
        <v>8</v>
      </c>
      <c r="L11" s="69"/>
      <c r="M11" s="69"/>
      <c r="N11" s="69"/>
      <c r="O11" s="69"/>
      <c r="P11" s="70" t="b">
        <v>0</v>
      </c>
      <c r="Q11" s="70"/>
      <c r="R11" s="71"/>
      <c r="S11" s="75" t="s">
        <v>23</v>
      </c>
      <c r="T11" s="76"/>
      <c r="U11" s="76"/>
      <c r="V11" s="76"/>
      <c r="W11" s="76"/>
      <c r="X11" s="76"/>
      <c r="Y11" s="76"/>
      <c r="Z11" s="76"/>
      <c r="AA11" s="76"/>
      <c r="AB11" s="76"/>
      <c r="AC11" s="77"/>
      <c r="AD11" s="77"/>
      <c r="AE11" s="77"/>
      <c r="AF11" s="77"/>
      <c r="AG11" s="77"/>
      <c r="AH11" s="77"/>
      <c r="AI11" s="77"/>
      <c r="AJ11" s="100"/>
      <c r="AK11" s="104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6"/>
    </row>
    <row r="12" spans="1:48" ht="16.5" thickBot="1" x14ac:dyDescent="0.3">
      <c r="A12" s="66" t="s">
        <v>6</v>
      </c>
      <c r="B12" s="67"/>
      <c r="C12" s="67"/>
      <c r="D12" s="67"/>
      <c r="E12" s="67"/>
      <c r="F12" s="67"/>
      <c r="G12" s="67"/>
      <c r="H12" s="67"/>
      <c r="I12" s="67"/>
      <c r="J12" s="68"/>
      <c r="K12" s="69">
        <v>15</v>
      </c>
      <c r="L12" s="69"/>
      <c r="M12" s="69"/>
      <c r="N12" s="69"/>
      <c r="O12" s="69"/>
      <c r="P12" s="70" t="b">
        <v>0</v>
      </c>
      <c r="Q12" s="70"/>
      <c r="R12" s="71"/>
      <c r="S12" s="129" t="s">
        <v>24</v>
      </c>
      <c r="T12" s="130"/>
      <c r="U12" s="130"/>
      <c r="V12" s="130"/>
      <c r="W12" s="130"/>
      <c r="X12" s="130"/>
      <c r="Y12" s="130"/>
      <c r="Z12" s="130"/>
      <c r="AA12" s="130"/>
      <c r="AB12" s="130"/>
      <c r="AC12" s="174"/>
      <c r="AD12" s="174"/>
      <c r="AE12" s="174"/>
      <c r="AF12" s="174"/>
      <c r="AG12" s="174"/>
      <c r="AH12" s="174"/>
      <c r="AI12" s="174"/>
      <c r="AJ12" s="175"/>
      <c r="AK12" s="83" t="s">
        <v>60</v>
      </c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103"/>
    </row>
    <row r="13" spans="1:48" ht="16.5" thickBot="1" x14ac:dyDescent="0.3">
      <c r="A13" s="66" t="s">
        <v>7</v>
      </c>
      <c r="B13" s="67"/>
      <c r="C13" s="67"/>
      <c r="D13" s="67"/>
      <c r="E13" s="67"/>
      <c r="F13" s="67"/>
      <c r="G13" s="67"/>
      <c r="H13" s="67"/>
      <c r="I13" s="67"/>
      <c r="J13" s="68"/>
      <c r="K13" s="69">
        <v>8</v>
      </c>
      <c r="L13" s="69"/>
      <c r="M13" s="69"/>
      <c r="N13" s="69"/>
      <c r="O13" s="69"/>
      <c r="P13" s="70" t="b">
        <v>0</v>
      </c>
      <c r="Q13" s="70"/>
      <c r="R13" s="71"/>
      <c r="S13" s="176" t="s">
        <v>161</v>
      </c>
      <c r="T13" s="177"/>
      <c r="U13" s="177"/>
      <c r="V13" s="177"/>
      <c r="W13" s="177"/>
      <c r="X13" s="177"/>
      <c r="Y13" s="178"/>
      <c r="Z13" s="179"/>
      <c r="AA13" s="180"/>
      <c r="AB13" s="181" t="s">
        <v>162</v>
      </c>
      <c r="AC13" s="177"/>
      <c r="AD13" s="177"/>
      <c r="AE13" s="177"/>
      <c r="AF13" s="177"/>
      <c r="AG13" s="178"/>
      <c r="AH13" s="182"/>
      <c r="AI13" s="182"/>
      <c r="AJ13" s="183"/>
      <c r="AK13" s="104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6"/>
    </row>
    <row r="14" spans="1:48" ht="16.5" thickBot="1" x14ac:dyDescent="0.3">
      <c r="A14" s="66" t="s">
        <v>8</v>
      </c>
      <c r="B14" s="67"/>
      <c r="C14" s="67"/>
      <c r="D14" s="67"/>
      <c r="E14" s="67"/>
      <c r="F14" s="67"/>
      <c r="G14" s="67"/>
      <c r="H14" s="67"/>
      <c r="I14" s="67"/>
      <c r="J14" s="68"/>
      <c r="K14" s="69">
        <v>15</v>
      </c>
      <c r="L14" s="69"/>
      <c r="M14" s="69"/>
      <c r="N14" s="69"/>
      <c r="O14" s="69"/>
      <c r="P14" s="70" t="b">
        <v>0</v>
      </c>
      <c r="Q14" s="70"/>
      <c r="R14" s="86"/>
      <c r="S14" s="34"/>
      <c r="T14" s="35"/>
      <c r="U14" s="35"/>
      <c r="V14" s="36"/>
      <c r="W14" s="36"/>
      <c r="X14" s="36"/>
      <c r="Y14" s="37"/>
      <c r="Z14" s="37"/>
      <c r="AA14" s="37"/>
      <c r="AB14" s="37"/>
      <c r="AC14" s="37"/>
      <c r="AD14" s="37"/>
      <c r="AE14" s="35"/>
      <c r="AF14" s="35"/>
      <c r="AG14" s="35"/>
      <c r="AH14" s="37"/>
      <c r="AI14" s="37"/>
      <c r="AJ14" s="38"/>
      <c r="AK14" s="112" t="s">
        <v>69</v>
      </c>
      <c r="AL14" s="113"/>
      <c r="AM14" s="113"/>
      <c r="AN14" s="113"/>
      <c r="AO14" s="113"/>
      <c r="AP14" s="114"/>
      <c r="AQ14" s="115"/>
      <c r="AR14" s="115"/>
      <c r="AS14" s="115"/>
      <c r="AT14" s="115"/>
      <c r="AU14" s="115"/>
      <c r="AV14" s="116"/>
    </row>
    <row r="15" spans="1:48" ht="16.5" thickBot="1" x14ac:dyDescent="0.3">
      <c r="A15" s="91" t="s">
        <v>88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3"/>
      <c r="P15" s="94">
        <f>IF(P9=TRUE,100,0)+IF(P10=TRUE,IF(P9=TRUE,100,200),0)+IF(P11=TRUE,8,0)+IF(P12=TRUE,IF(P11=TRUE,7,15),0)+IF(P13=TRUE,8,0)+IF(P14=TRUE,IF(P13=TRUE,7,15),0)</f>
        <v>0</v>
      </c>
      <c r="Q15" s="94"/>
      <c r="R15" s="95"/>
      <c r="S15" s="146" t="s">
        <v>87</v>
      </c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23">
        <f>IFERROR(VLOOKUP(AC9,Adatok!N10:O20,2,FALSE),0)+IFERROR(VLOOKUP(AC9, Adatok!R2:S7,2,FALSE),0)+IFERROR(VLOOKUP(AC10,Adatok!N10:O20,2,FALSE),0)+IFERROR(VLOOKUP(AC10,Adatok!R10:S14,2,FALSE),0)+IFERROR(VLOOKUP(AC11,Adatok!N10:O20,2,FALSE),0)+IFERROR(VLOOKUP(AC11,Adatok!R17:S21,2,FALSE),0)+IFERROR(VLOOKUP(AC12,Adatok!N10:O20,2,FALSE),0)+IFERROR(VLOOKUP(AC12,Adatok!R24:S29,2,FALSE),0)+IFERROR(VLOOKUP(AK8,Adatok!K10:L14,2,FALSE),0)+IFERROR(VLOOKUP(AK11,Adatok!K17:L21,2,FALSE),0)+IFERROR(VLOOKUP(AK13,Adatok!K24:L28,2,FALSE),0)+IFERROR(VLOOKUP(AQ14,Adatok!N23:O35,2,FALSE),0)+IF(Adatok!B27&gt;0,IF(Z13="K6",6,IF(Z13="K10",10,0))*IF(ISBLANK(AH13),1,AH13)*Adatok!B27,0)</f>
        <v>0</v>
      </c>
      <c r="AI15" s="123"/>
      <c r="AJ15" s="124"/>
    </row>
    <row r="16" spans="1:48" ht="16.5" thickBot="1" x14ac:dyDescent="0.3">
      <c r="A16" s="83" t="s">
        <v>29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5"/>
      <c r="S16" s="147" t="s">
        <v>90</v>
      </c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25">
        <f>IF(AH15&gt;=Adatok!A18,8,IF(AH15&gt;=Adatok!A17,7,IF(AH15&gt;=Adatok!A16,6,IF(AH15&gt;=Adatok!A15,5,IF(AH15&gt;=Adatok!A14,4,IF(AH15&gt;=Adatok!A13,3,IF(AH15&gt;=Adatok!A12,2,1)))))))</f>
        <v>1</v>
      </c>
      <c r="AI16" s="125"/>
      <c r="AJ16" s="126"/>
    </row>
    <row r="17" spans="1:49" x14ac:dyDescent="0.25">
      <c r="A17" s="75" t="s">
        <v>33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0" t="b">
        <v>0</v>
      </c>
      <c r="Q17" s="70"/>
      <c r="R17" s="80"/>
      <c r="S17" s="147" t="s">
        <v>93</v>
      </c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25" t="str">
        <f>IF(AH15&gt;P15,"Nem képes elkészíteni",IF(P23=TRUE,VLOOKUP(AH16,Adatok!D10:G17,2,FALSE),IF(P22=TRUE,VLOOKUP(AH16,Adatok!D10:G17,3,FALSE),VLOOKUP(AH16,Adatok!D10:G17,4,FALSE))))</f>
        <v>Alkalmi felszerelés</v>
      </c>
      <c r="AE17" s="125"/>
      <c r="AF17" s="125"/>
      <c r="AG17" s="125"/>
      <c r="AH17" s="125"/>
      <c r="AI17" s="125"/>
      <c r="AJ17" s="126"/>
      <c r="AK17" s="133" t="s">
        <v>146</v>
      </c>
      <c r="AL17" s="134"/>
      <c r="AM17" s="134"/>
      <c r="AN17" s="134"/>
      <c r="AO17" s="134"/>
      <c r="AP17" s="134"/>
      <c r="AQ17" s="134"/>
      <c r="AR17" s="137">
        <f>(Adatok!B68+Adatok!E68+Adatok!H68+Adatok!L68)*IF(Számolás!AK13="Maradandó",4,1)</f>
        <v>0</v>
      </c>
      <c r="AS17" s="137"/>
      <c r="AT17" s="139" t="s">
        <v>148</v>
      </c>
      <c r="AU17" s="139"/>
      <c r="AV17" s="140"/>
    </row>
    <row r="18" spans="1:49" ht="16.5" thickBot="1" x14ac:dyDescent="0.3">
      <c r="A18" s="75" t="s">
        <v>30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0" t="b">
        <v>0</v>
      </c>
      <c r="Q18" s="70"/>
      <c r="R18" s="80"/>
      <c r="S18" s="148" t="s">
        <v>91</v>
      </c>
      <c r="T18" s="148"/>
      <c r="U18" s="148"/>
      <c r="V18" s="148"/>
      <c r="W18" s="148"/>
      <c r="X18" s="148"/>
      <c r="Y18" s="148"/>
      <c r="Z18" s="149" t="str">
        <f>IF(P20=TRUE, IF(4&gt;=IF(P23=TRUE,VLOOKUP(AH16,Adatok!D21:G28,2,FALSE),IF(P22=TRUE,VLOOKUP(AH16,Adatok!D21:G28,3,FALSE),VLOOKUP(AH16,Adatok!D21:G28,4,FALSE))),"van","nincs"),IF(P19=TRUE,IF(3&gt;=IF(P23=TRUE,VLOOKUP(AH16,Adatok!D21:G28,2,FALSE),IF(P22=TRUE,VLOOKUP(AH16,Adatok!D21:G28,3,FALSE),VLOOKUP(AH16,Adatok!D21:G28,4,FALSE))),"van","nincs"),IF(P18=TRUE,IF(2&gt;=IF(P23=TRUE,VLOOKUP(AH16,Adatok!D21:G28,2,FALSE),IF(P22=TRUE,VLOOKUP(AH16,Adatok!D21:G28,3,FALSE),VLOOKUP(AH16,Adatok!D21:G28,4,FALSE))),"van","nincs"),IF(P17=TRUE,IF(1&gt;=IF(P23=TRUE,VLOOKUP(AH16,Adatok!D21:G28,2,FALSE),IF(P22=TRUE,VLOOKUP(AH16,Adatok!D21:G28,3,FALSE),VLOOKUP(AH16,Adatok!D21:G28,4,FALSE))),"van","nincs"),"nincs"))))</f>
        <v>nincs</v>
      </c>
      <c r="AA18" s="149"/>
      <c r="AB18" s="148" t="s">
        <v>92</v>
      </c>
      <c r="AC18" s="148"/>
      <c r="AD18" s="148"/>
      <c r="AE18" s="148"/>
      <c r="AF18" s="148"/>
      <c r="AG18" s="148"/>
      <c r="AH18" s="148"/>
      <c r="AI18" s="148"/>
      <c r="AJ18" s="150"/>
      <c r="AK18" s="135" t="s">
        <v>147</v>
      </c>
      <c r="AL18" s="136"/>
      <c r="AM18" s="136"/>
      <c r="AN18" s="136"/>
      <c r="AO18" s="136"/>
      <c r="AP18" s="136"/>
      <c r="AQ18" s="136"/>
      <c r="AR18" s="138">
        <f>AR17*2</f>
        <v>0</v>
      </c>
      <c r="AS18" s="138"/>
      <c r="AT18" s="87" t="s">
        <v>148</v>
      </c>
      <c r="AU18" s="87"/>
      <c r="AV18" s="88"/>
      <c r="AW18" s="39"/>
    </row>
    <row r="19" spans="1:49" x14ac:dyDescent="0.25">
      <c r="A19" s="75" t="s">
        <v>31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0" t="b">
        <v>0</v>
      </c>
      <c r="Q19" s="70"/>
      <c r="R19" s="80"/>
      <c r="S19" s="151" t="s">
        <v>103</v>
      </c>
      <c r="T19" s="128"/>
      <c r="U19" s="128"/>
      <c r="V19" s="128"/>
      <c r="W19" s="128"/>
      <c r="X19" s="128"/>
      <c r="Y19" s="128" t="s">
        <v>114</v>
      </c>
      <c r="Z19" s="128"/>
      <c r="AA19" s="128" t="s">
        <v>115</v>
      </c>
      <c r="AB19" s="128"/>
      <c r="AC19" s="128" t="s">
        <v>113</v>
      </c>
      <c r="AD19" s="128"/>
      <c r="AE19" s="128" t="s">
        <v>112</v>
      </c>
      <c r="AF19" s="128"/>
      <c r="AG19" s="128" t="s">
        <v>111</v>
      </c>
      <c r="AH19" s="128"/>
      <c r="AI19" s="128" t="s">
        <v>110</v>
      </c>
      <c r="AJ19" s="128"/>
      <c r="AK19" s="111" t="s">
        <v>109</v>
      </c>
      <c r="AL19" s="111"/>
      <c r="AM19" s="111" t="s">
        <v>108</v>
      </c>
      <c r="AN19" s="111"/>
      <c r="AO19" s="111" t="s">
        <v>107</v>
      </c>
      <c r="AP19" s="111"/>
      <c r="AQ19" s="111" t="s">
        <v>106</v>
      </c>
      <c r="AR19" s="111"/>
      <c r="AS19" s="111" t="s">
        <v>105</v>
      </c>
      <c r="AT19" s="111"/>
      <c r="AU19" s="111" t="s">
        <v>104</v>
      </c>
      <c r="AV19" s="111"/>
      <c r="AW19" s="127"/>
    </row>
    <row r="20" spans="1:49" ht="16.5" thickBot="1" x14ac:dyDescent="0.3">
      <c r="A20" s="78" t="s">
        <v>32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81" t="b">
        <v>0</v>
      </c>
      <c r="Q20" s="81"/>
      <c r="R20" s="82"/>
      <c r="S20" s="68" t="str">
        <f>IF(ISBLANK(AC9)=FALSE,AC9,IF(ISBLANK(AC10)=FALSE,AC10,IF(ISBLANK(AC11)=FALSE,AC11,IF(ISBLANK(AC12)=FALSE,AC12,""))))</f>
        <v/>
      </c>
      <c r="T20" s="141"/>
      <c r="U20" s="141"/>
      <c r="V20" s="141"/>
      <c r="W20" s="141"/>
      <c r="X20" s="141"/>
      <c r="Y20" s="170" t="str">
        <f>IFERROR(VLOOKUP(S20,Adatok!A31:M38,2,FALSE),"")</f>
        <v/>
      </c>
      <c r="Z20" s="170"/>
      <c r="AA20" s="170" t="str">
        <f>IFERROR(VLOOKUP(S20,Adatok!A31:M38,3,FALSE),"")</f>
        <v/>
      </c>
      <c r="AB20" s="170"/>
      <c r="AC20" s="170" t="str">
        <f>IFERROR(VLOOKUP(S20,Adatok!A31:M38,4,FALSE),"")</f>
        <v/>
      </c>
      <c r="AD20" s="170"/>
      <c r="AE20" s="170" t="str">
        <f>IFERROR(VLOOKUP(S20,Adatok!A31:M38,5,FALSE),"")</f>
        <v/>
      </c>
      <c r="AF20" s="170"/>
      <c r="AG20" s="141" t="str">
        <f>IFERROR(VLOOKUP(S20,Adatok!A31:M38,6,FALSE),"")</f>
        <v/>
      </c>
      <c r="AH20" s="141"/>
      <c r="AI20" s="141" t="str">
        <f>IFERROR(VLOOKUP(S20,Adatok!A31:M38,7,FALSE),"")</f>
        <v/>
      </c>
      <c r="AJ20" s="141"/>
      <c r="AK20" s="141" t="str">
        <f>IFERROR(VLOOKUP(S20,Adatok!A31:M38,8,FALSE),"")</f>
        <v/>
      </c>
      <c r="AL20" s="141"/>
      <c r="AM20" s="141" t="str">
        <f>IFERROR(VLOOKUP(S20,Adatok!A31:M38,9,FALSE),"")</f>
        <v/>
      </c>
      <c r="AN20" s="141"/>
      <c r="AO20" s="141" t="str">
        <f>IFERROR(VLOOKUP(S20,Adatok!A31:M38,10,FALSE),"")</f>
        <v/>
      </c>
      <c r="AP20" s="141"/>
      <c r="AQ20" s="141" t="str">
        <f>IFERROR(VLOOKUP(S20,Adatok!A31:M38,11,FALSE),"")</f>
        <v/>
      </c>
      <c r="AR20" s="141"/>
      <c r="AS20" s="141" t="str">
        <f>IFERROR(VLOOKUP(S20,Adatok!A31:M38,12,FALSE),"")</f>
        <v/>
      </c>
      <c r="AT20" s="141"/>
      <c r="AU20" s="141" t="str">
        <f>IFERROR(VLOOKUP(S20,Adatok!A31:M38,13,FALSE),"")</f>
        <v/>
      </c>
      <c r="AV20" s="141"/>
      <c r="AW20" s="165"/>
    </row>
    <row r="21" spans="1:49" ht="16.5" thickBot="1" x14ac:dyDescent="0.3">
      <c r="A21" s="72" t="s">
        <v>34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166" t="str">
        <f>IF(ISBLANK(AG9)=FALSE,AG9,IF(ISBLANK(AG10)=FALSE,AG10,IF(ISBLANK(AG11)=FALSE,AG11,IF(ISBLANK(AG12)=FALSE,AG12,""))))</f>
        <v/>
      </c>
      <c r="T21" s="167"/>
      <c r="U21" s="167"/>
      <c r="V21" s="167"/>
      <c r="W21" s="167"/>
      <c r="X21" s="167"/>
      <c r="Y21" s="168" t="str">
        <f>IFERROR(VLOOKUP(S21,Adatok!A31:M38,2,FALSE),"")</f>
        <v/>
      </c>
      <c r="Z21" s="168"/>
      <c r="AA21" s="168" t="str">
        <f>IFERROR(VLOOKUP(S21,Adatok!A31:M38,3,FALSE),"")</f>
        <v/>
      </c>
      <c r="AB21" s="168"/>
      <c r="AC21" s="168" t="str">
        <f>IFERROR(VLOOKUP(S21,Adatok!A31:M38,4,FALSE),"")</f>
        <v/>
      </c>
      <c r="AD21" s="168"/>
      <c r="AE21" s="168" t="str">
        <f>IFERROR(VLOOKUP(S21,Adatok!A31:M38,5,FALSE),"")</f>
        <v/>
      </c>
      <c r="AF21" s="168"/>
      <c r="AG21" s="167" t="str">
        <f>IFERROR(VLOOKUP(S21,Adatok!A31:M38,6,FALSE),"")</f>
        <v/>
      </c>
      <c r="AH21" s="167"/>
      <c r="AI21" s="167" t="str">
        <f>IFERROR(VLOOKUP(S21,Adatok!A31:M38,7,FALSE),"")</f>
        <v/>
      </c>
      <c r="AJ21" s="167"/>
      <c r="AK21" s="167" t="str">
        <f>IFERROR(VLOOKUP(S21,Adatok!A31:M38,8,FALSE),"")</f>
        <v/>
      </c>
      <c r="AL21" s="167"/>
      <c r="AM21" s="167" t="str">
        <f>IFERROR(VLOOKUP(S21,Adatok!A31:M38,9,FALSE),"")</f>
        <v/>
      </c>
      <c r="AN21" s="167"/>
      <c r="AO21" s="167" t="str">
        <f>IFERROR(VLOOKUP(S21,Adatok!A31:M38,10,FALSE),"")</f>
        <v/>
      </c>
      <c r="AP21" s="167"/>
      <c r="AQ21" s="167" t="str">
        <f>IFERROR(VLOOKUP(S21,Adatok!A31:M38,11,FALSE),"")</f>
        <v/>
      </c>
      <c r="AR21" s="167"/>
      <c r="AS21" s="167" t="str">
        <f>IFERROR(VLOOKUP(S21,Adatok!A31:M38,12,FALSE),"")</f>
        <v/>
      </c>
      <c r="AT21" s="167"/>
      <c r="AU21" s="167" t="str">
        <f>IFERROR(VLOOKUP(S21,Adatok!A31:M38,13,FALSE),"")</f>
        <v/>
      </c>
      <c r="AV21" s="167"/>
      <c r="AW21" s="169"/>
    </row>
    <row r="22" spans="1:49" ht="16.5" thickBot="1" x14ac:dyDescent="0.3">
      <c r="A22" s="75" t="s">
        <v>35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0" t="b">
        <v>0</v>
      </c>
      <c r="Q22" s="70"/>
      <c r="R22" s="86"/>
    </row>
    <row r="23" spans="1:49" ht="16.5" thickBot="1" x14ac:dyDescent="0.3">
      <c r="A23" s="129" t="s">
        <v>36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1" t="b">
        <v>0</v>
      </c>
      <c r="Q23" s="131"/>
      <c r="R23" s="132"/>
      <c r="X23" s="89" t="s">
        <v>149</v>
      </c>
      <c r="Y23" s="90"/>
      <c r="Z23" s="90"/>
      <c r="AA23" s="90"/>
      <c r="AB23" s="90"/>
      <c r="AC23" s="90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4"/>
    </row>
    <row r="24" spans="1:49" ht="15.75" customHeight="1" thickBot="1" x14ac:dyDescent="0.3">
      <c r="A24" s="117" t="s">
        <v>134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9"/>
      <c r="AA24" s="90" t="s">
        <v>150</v>
      </c>
      <c r="AB24" s="90"/>
      <c r="AC24" s="90"/>
      <c r="AD24" s="90"/>
      <c r="AE24" s="152"/>
      <c r="AF24" s="155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7"/>
    </row>
    <row r="25" spans="1:49" x14ac:dyDescent="0.25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2"/>
      <c r="AF25" s="158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60"/>
    </row>
    <row r="26" spans="1:49" x14ac:dyDescent="0.25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2"/>
      <c r="AA26" s="50" t="s">
        <v>156</v>
      </c>
      <c r="AB26" s="51"/>
      <c r="AC26" s="51"/>
      <c r="AD26" s="51"/>
      <c r="AE26" s="52"/>
      <c r="AF26" s="158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60"/>
    </row>
    <row r="27" spans="1:49" x14ac:dyDescent="0.25">
      <c r="A27" s="120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2"/>
      <c r="AA27" s="164" t="s">
        <v>151</v>
      </c>
      <c r="AB27" s="76"/>
      <c r="AC27" s="76"/>
      <c r="AD27" s="49">
        <v>1</v>
      </c>
      <c r="AF27" s="158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60"/>
    </row>
    <row r="28" spans="1:49" x14ac:dyDescent="0.25">
      <c r="A28" s="142" t="s">
        <v>132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14">
        <v>1</v>
      </c>
      <c r="T28" s="14">
        <v>2</v>
      </c>
      <c r="U28" s="14">
        <v>3</v>
      </c>
      <c r="V28" s="14">
        <v>4</v>
      </c>
      <c r="W28" s="14">
        <v>5</v>
      </c>
      <c r="X28" s="14">
        <v>6</v>
      </c>
      <c r="Y28" s="14">
        <v>7</v>
      </c>
      <c r="Z28" s="15">
        <v>8</v>
      </c>
      <c r="AA28" s="164" t="s">
        <v>152</v>
      </c>
      <c r="AB28" s="76"/>
      <c r="AC28" s="76"/>
      <c r="AD28" s="49">
        <v>2</v>
      </c>
      <c r="AF28" s="158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60"/>
    </row>
    <row r="29" spans="1:49" x14ac:dyDescent="0.25">
      <c r="A29" s="143" t="s">
        <v>83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0">
        <v>1</v>
      </c>
      <c r="T29" s="10">
        <v>2</v>
      </c>
      <c r="U29" s="10">
        <v>3</v>
      </c>
      <c r="V29" s="10">
        <v>4</v>
      </c>
      <c r="W29" s="10" t="s">
        <v>25</v>
      </c>
      <c r="X29" s="10" t="s">
        <v>25</v>
      </c>
      <c r="Y29" s="10" t="s">
        <v>25</v>
      </c>
      <c r="Z29" s="11" t="s">
        <v>25</v>
      </c>
      <c r="AA29" s="164" t="s">
        <v>153</v>
      </c>
      <c r="AB29" s="76"/>
      <c r="AC29" s="76"/>
      <c r="AD29" s="49">
        <v>4</v>
      </c>
      <c r="AF29" s="158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60"/>
    </row>
    <row r="30" spans="1:49" x14ac:dyDescent="0.25">
      <c r="A30" s="143" t="s">
        <v>84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0">
        <v>1</v>
      </c>
      <c r="T30" s="10">
        <v>2</v>
      </c>
      <c r="U30" s="10">
        <v>2</v>
      </c>
      <c r="V30" s="10">
        <v>3</v>
      </c>
      <c r="W30" s="10">
        <v>3</v>
      </c>
      <c r="X30" s="10">
        <v>4</v>
      </c>
      <c r="Y30" s="10" t="s">
        <v>25</v>
      </c>
      <c r="Z30" s="11" t="s">
        <v>25</v>
      </c>
      <c r="AA30" s="164" t="s">
        <v>155</v>
      </c>
      <c r="AB30" s="76"/>
      <c r="AC30" s="76"/>
      <c r="AD30" s="49">
        <v>6</v>
      </c>
      <c r="AF30" s="158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60"/>
    </row>
    <row r="31" spans="1:49" ht="16.5" thickBot="1" x14ac:dyDescent="0.3">
      <c r="A31" s="144" t="s">
        <v>85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2">
        <v>1</v>
      </c>
      <c r="T31" s="12">
        <v>1</v>
      </c>
      <c r="U31" s="12">
        <v>2</v>
      </c>
      <c r="V31" s="12">
        <v>2</v>
      </c>
      <c r="W31" s="12">
        <v>3</v>
      </c>
      <c r="X31" s="12">
        <v>3</v>
      </c>
      <c r="Y31" s="12">
        <v>4</v>
      </c>
      <c r="Z31" s="13">
        <v>4</v>
      </c>
      <c r="AA31" s="164" t="s">
        <v>154</v>
      </c>
      <c r="AB31" s="76"/>
      <c r="AC31" s="76"/>
      <c r="AD31" s="49">
        <v>7</v>
      </c>
      <c r="AF31" s="161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3"/>
    </row>
  </sheetData>
  <mergeCells count="137">
    <mergeCell ref="S13:Y13"/>
    <mergeCell ref="Z13:AA13"/>
    <mergeCell ref="AB13:AG13"/>
    <mergeCell ref="AQ20:AR20"/>
    <mergeCell ref="AS20:AT20"/>
    <mergeCell ref="AU20:AW20"/>
    <mergeCell ref="S20:X20"/>
    <mergeCell ref="S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W21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28:R28"/>
    <mergeCell ref="A29:R29"/>
    <mergeCell ref="A30:R30"/>
    <mergeCell ref="A31:R31"/>
    <mergeCell ref="S15:AG15"/>
    <mergeCell ref="S16:AG16"/>
    <mergeCell ref="S18:Y18"/>
    <mergeCell ref="Z18:AA18"/>
    <mergeCell ref="AB18:AJ18"/>
    <mergeCell ref="S17:AC17"/>
    <mergeCell ref="AD17:AJ17"/>
    <mergeCell ref="S19:X19"/>
    <mergeCell ref="Y19:Z19"/>
    <mergeCell ref="AA24:AE24"/>
    <mergeCell ref="AD23:AV23"/>
    <mergeCell ref="AF24:AW31"/>
    <mergeCell ref="AA27:AC27"/>
    <mergeCell ref="AA28:AC28"/>
    <mergeCell ref="AA29:AC29"/>
    <mergeCell ref="AA30:AC30"/>
    <mergeCell ref="AA31:AC31"/>
    <mergeCell ref="AM19:AN19"/>
    <mergeCell ref="AO19:AP19"/>
    <mergeCell ref="AQ19:AR19"/>
    <mergeCell ref="AK14:AP14"/>
    <mergeCell ref="AQ14:AV14"/>
    <mergeCell ref="A24:Z27"/>
    <mergeCell ref="AH15:AJ15"/>
    <mergeCell ref="AH16:AJ16"/>
    <mergeCell ref="AU19:AW19"/>
    <mergeCell ref="AS19:AT19"/>
    <mergeCell ref="AA19:AB19"/>
    <mergeCell ref="AC19:AD19"/>
    <mergeCell ref="AE19:AF19"/>
    <mergeCell ref="AG19:AH19"/>
    <mergeCell ref="AI19:AJ19"/>
    <mergeCell ref="AK19:AL19"/>
    <mergeCell ref="A22:O22"/>
    <mergeCell ref="P22:R22"/>
    <mergeCell ref="A23:O23"/>
    <mergeCell ref="P23:R23"/>
    <mergeCell ref="AK17:AQ17"/>
    <mergeCell ref="AK18:AQ18"/>
    <mergeCell ref="AR17:AS17"/>
    <mergeCell ref="AR18:AS18"/>
    <mergeCell ref="AT17:AV17"/>
    <mergeCell ref="AT18:AV18"/>
    <mergeCell ref="X23:AC23"/>
    <mergeCell ref="A15:O15"/>
    <mergeCell ref="P15:R15"/>
    <mergeCell ref="AH13:AJ13"/>
    <mergeCell ref="AK7:AV7"/>
    <mergeCell ref="AK8:AV8"/>
    <mergeCell ref="AK9:AU9"/>
    <mergeCell ref="AK10:AV10"/>
    <mergeCell ref="AK11:AV11"/>
    <mergeCell ref="AK12:AV12"/>
    <mergeCell ref="AK13:AV13"/>
    <mergeCell ref="AC10:AF10"/>
    <mergeCell ref="AC11:AF11"/>
    <mergeCell ref="AC12:AF12"/>
    <mergeCell ref="AG9:AJ9"/>
    <mergeCell ref="AG10:AJ10"/>
    <mergeCell ref="AG11:AJ11"/>
    <mergeCell ref="AG12:AJ12"/>
    <mergeCell ref="S8:AB8"/>
    <mergeCell ref="AC8:AF8"/>
    <mergeCell ref="AG8:AJ8"/>
    <mergeCell ref="S7:AJ7"/>
    <mergeCell ref="K13:O13"/>
    <mergeCell ref="K14:O14"/>
    <mergeCell ref="K11:O11"/>
    <mergeCell ref="K12:O12"/>
    <mergeCell ref="P11:R11"/>
    <mergeCell ref="P12:R12"/>
    <mergeCell ref="P13:R13"/>
    <mergeCell ref="P14:R14"/>
    <mergeCell ref="A13:J13"/>
    <mergeCell ref="A14:J14"/>
    <mergeCell ref="A20:O20"/>
    <mergeCell ref="P18:R18"/>
    <mergeCell ref="P19:R19"/>
    <mergeCell ref="P20:R20"/>
    <mergeCell ref="A21:R21"/>
    <mergeCell ref="A16:R16"/>
    <mergeCell ref="A17:O17"/>
    <mergeCell ref="P17:R17"/>
    <mergeCell ref="A18:O18"/>
    <mergeCell ref="A19:O19"/>
    <mergeCell ref="S1:AV6"/>
    <mergeCell ref="A8:J8"/>
    <mergeCell ref="K8:O8"/>
    <mergeCell ref="P8:R8"/>
    <mergeCell ref="A9:J9"/>
    <mergeCell ref="K9:O9"/>
    <mergeCell ref="A10:J10"/>
    <mergeCell ref="A11:J11"/>
    <mergeCell ref="A12:J12"/>
    <mergeCell ref="K10:O10"/>
    <mergeCell ref="P9:R9"/>
    <mergeCell ref="P10:R10"/>
    <mergeCell ref="A7:R7"/>
    <mergeCell ref="A1:R6"/>
    <mergeCell ref="S12:AB12"/>
    <mergeCell ref="S10:AB10"/>
    <mergeCell ref="S11:AB11"/>
    <mergeCell ref="AC9:AF9"/>
    <mergeCell ref="S9:AB9"/>
  </mergeCells>
  <conditionalFormatting sqref="AV9">
    <cfRule type="expression" dxfId="30" priority="18">
      <formula>AK8="Több komponensű mérgek"</formula>
    </cfRule>
  </conditionalFormatting>
  <conditionalFormatting sqref="AH13:AJ13">
    <cfRule type="expression" dxfId="29" priority="14">
      <formula>AG12="Fp vesztés"</formula>
    </cfRule>
    <cfRule type="expression" dxfId="28" priority="15">
      <formula>AC12="Fp vesztés"</formula>
    </cfRule>
    <cfRule type="expression" dxfId="27" priority="16">
      <formula>AG9="Fp vesztés"</formula>
    </cfRule>
    <cfRule type="expression" dxfId="26" priority="17">
      <formula>AC9="Fp vesztés"</formula>
    </cfRule>
  </conditionalFormatting>
  <conditionalFormatting sqref="AH15:AJ15">
    <cfRule type="expression" dxfId="25" priority="13">
      <formula>AH15&gt;P15</formula>
    </cfRule>
  </conditionalFormatting>
  <conditionalFormatting sqref="P15:R15">
    <cfRule type="expression" dxfId="24" priority="12">
      <formula>$AH$15&gt;$P$15</formula>
    </cfRule>
  </conditionalFormatting>
  <conditionalFormatting sqref="Z18:AA18">
    <cfRule type="containsText" dxfId="23" priority="10" operator="containsText" text="van">
      <formula>NOT(ISERROR(SEARCH("van",Z18)))</formula>
    </cfRule>
    <cfRule type="containsText" dxfId="22" priority="11" operator="containsText" text="nincs">
      <formula>NOT(ISERROR(SEARCH("nincs",Z18)))</formula>
    </cfRule>
  </conditionalFormatting>
  <conditionalFormatting sqref="Z13:AA13">
    <cfRule type="expression" dxfId="21" priority="5">
      <formula>$AG$12="Fp vesztés"</formula>
    </cfRule>
    <cfRule type="expression" dxfId="20" priority="6">
      <formula>$AC$12="Fp vesztés"</formula>
    </cfRule>
    <cfRule type="expression" dxfId="19" priority="7">
      <formula>$AG$9="Fp vesztés"</formula>
    </cfRule>
    <cfRule type="expression" dxfId="18" priority="8">
      <formula>$AC$9="Fp vesztés"</formula>
    </cfRule>
  </conditionalFormatting>
  <conditionalFormatting sqref="AG9:AJ9">
    <cfRule type="expression" dxfId="17" priority="4">
      <formula>IF(ISBLANK($AC$9),"",IF($AC$9="Fp vesztés","",$AC$9=$AG$9))</formula>
    </cfRule>
  </conditionalFormatting>
  <conditionalFormatting sqref="AG10:AJ10">
    <cfRule type="expression" dxfId="2" priority="3">
      <formula>IF(ISBLANK($AC$10),"",IF($AC$10="Fp vesztés","",$AC$10=$AG$10))</formula>
    </cfRule>
  </conditionalFormatting>
  <conditionalFormatting sqref="AG11:AJ11">
    <cfRule type="expression" dxfId="1" priority="2">
      <formula>IF(ISBLANK($AC$11),"",IF($AC$11="Fp vesztés","",$AC$11=$AG$11))</formula>
    </cfRule>
  </conditionalFormatting>
  <conditionalFormatting sqref="AG12:AJ12">
    <cfRule type="expression" dxfId="0" priority="1">
      <formula>IF(ISBLANK($AC$12),"",IF($AC$12="Fp vesztés","",$AC$12=$AG$12))</formula>
    </cfRule>
  </conditionalFormatting>
  <pageMargins left="0.44" right="0.32" top="0.75" bottom="0.75" header="0.3" footer="0.3"/>
  <pageSetup paperSize="9" orientation="landscape" horizontalDpi="4294967293" verticalDpi="4294967293" r:id="rId1"/>
  <headerFooter>
    <oddHeader>&amp;C&amp;"Times New Roman,Félkövér"&amp;14Méregkeverés kétfokozatú rendszerben&amp;Rkalandozok.hu</oddHeader>
    <oddFooter>&amp;Lv 1.0 - 2016.09.23.&amp;RMéregkeverést készítette: MagyarGergely
Táblázatot készítette: Silver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190500</xdr:rowOff>
                  </from>
                  <to>
                    <xdr:col>17</xdr:col>
                    <xdr:colOff>85725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15</xdr:col>
                    <xdr:colOff>161925</xdr:colOff>
                    <xdr:row>8</xdr:row>
                    <xdr:rowOff>180975</xdr:rowOff>
                  </from>
                  <to>
                    <xdr:col>17</xdr:col>
                    <xdr:colOff>85725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15</xdr:col>
                    <xdr:colOff>161925</xdr:colOff>
                    <xdr:row>9</xdr:row>
                    <xdr:rowOff>190500</xdr:rowOff>
                  </from>
                  <to>
                    <xdr:col>17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15</xdr:col>
                    <xdr:colOff>161925</xdr:colOff>
                    <xdr:row>10</xdr:row>
                    <xdr:rowOff>180975</xdr:rowOff>
                  </from>
                  <to>
                    <xdr:col>17</xdr:col>
                    <xdr:colOff>85725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15</xdr:col>
                    <xdr:colOff>161925</xdr:colOff>
                    <xdr:row>11</xdr:row>
                    <xdr:rowOff>190500</xdr:rowOff>
                  </from>
                  <to>
                    <xdr:col>17</xdr:col>
                    <xdr:colOff>85725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15</xdr:col>
                    <xdr:colOff>161925</xdr:colOff>
                    <xdr:row>12</xdr:row>
                    <xdr:rowOff>180975</xdr:rowOff>
                  </from>
                  <to>
                    <xdr:col>17</xdr:col>
                    <xdr:colOff>85725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15</xdr:col>
                    <xdr:colOff>161925</xdr:colOff>
                    <xdr:row>15</xdr:row>
                    <xdr:rowOff>190500</xdr:rowOff>
                  </from>
                  <to>
                    <xdr:col>17</xdr:col>
                    <xdr:colOff>85725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15</xdr:col>
                    <xdr:colOff>161925</xdr:colOff>
                    <xdr:row>16</xdr:row>
                    <xdr:rowOff>180975</xdr:rowOff>
                  </from>
                  <to>
                    <xdr:col>17</xdr:col>
                    <xdr:colOff>85725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15</xdr:col>
                    <xdr:colOff>161925</xdr:colOff>
                    <xdr:row>17</xdr:row>
                    <xdr:rowOff>190500</xdr:rowOff>
                  </from>
                  <to>
                    <xdr:col>17</xdr:col>
                    <xdr:colOff>85725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15</xdr:col>
                    <xdr:colOff>161925</xdr:colOff>
                    <xdr:row>18</xdr:row>
                    <xdr:rowOff>180975</xdr:rowOff>
                  </from>
                  <to>
                    <xdr:col>17</xdr:col>
                    <xdr:colOff>85725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15</xdr:col>
                    <xdr:colOff>161925</xdr:colOff>
                    <xdr:row>20</xdr:row>
                    <xdr:rowOff>190500</xdr:rowOff>
                  </from>
                  <to>
                    <xdr:col>17</xdr:col>
                    <xdr:colOff>85725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15</xdr:col>
                    <xdr:colOff>161925</xdr:colOff>
                    <xdr:row>21</xdr:row>
                    <xdr:rowOff>180975</xdr:rowOff>
                  </from>
                  <to>
                    <xdr:col>17</xdr:col>
                    <xdr:colOff>85725</xdr:colOff>
                    <xdr:row>22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errorStyle="warning" allowBlank="1" showErrorMessage="1" error="Válassz a legördülő listából!">
          <x14:formula1>
            <xm:f>Adatok!$K$2:$K$7</xm:f>
          </x14:formula1>
          <xm:sqref>AC9:AF9</xm:sqref>
        </x14:dataValidation>
        <x14:dataValidation type="list" errorStyle="information" allowBlank="1">
          <x14:formula1>
            <xm:f>Adatok!$K$2:$K$6</xm:f>
          </x14:formula1>
          <xm:sqref>AG9:AJ9</xm:sqref>
        </x14:dataValidation>
        <x14:dataValidation type="list" allowBlank="1">
          <x14:formula1>
            <xm:f>Adatok!$L$2:$L$6</xm:f>
          </x14:formula1>
          <xm:sqref>AC10:AF10</xm:sqref>
        </x14:dataValidation>
        <x14:dataValidation type="list" allowBlank="1">
          <x14:formula1>
            <xm:f>Adatok!$L$2:$L$5</xm:f>
          </x14:formula1>
          <xm:sqref>AG10:AJ10</xm:sqref>
        </x14:dataValidation>
        <x14:dataValidation type="list" allowBlank="1">
          <x14:formula1>
            <xm:f>Adatok!$M$2:$M$6</xm:f>
          </x14:formula1>
          <xm:sqref>AC11:AF11</xm:sqref>
        </x14:dataValidation>
        <x14:dataValidation type="list" allowBlank="1">
          <x14:formula1>
            <xm:f>Adatok!$M$2:$M$5</xm:f>
          </x14:formula1>
          <xm:sqref>AG11:AJ11</xm:sqref>
        </x14:dataValidation>
        <x14:dataValidation type="list" allowBlank="1">
          <x14:formula1>
            <xm:f>Adatok!$N$2:$N$7</xm:f>
          </x14:formula1>
          <xm:sqref>AC12:AF12</xm:sqref>
        </x14:dataValidation>
        <x14:dataValidation type="list" allowBlank="1">
          <x14:formula1>
            <xm:f>Adatok!$N$2:$N$6</xm:f>
          </x14:formula1>
          <xm:sqref>AG12:AJ12</xm:sqref>
        </x14:dataValidation>
        <x14:dataValidation type="list" allowBlank="1">
          <x14:formula1>
            <xm:f>Adatok!$K$10:$K$14</xm:f>
          </x14:formula1>
          <xm:sqref>AK8:AV8</xm:sqref>
        </x14:dataValidation>
        <x14:dataValidation type="list" allowBlank="1">
          <x14:formula1>
            <xm:f>Adatok!$K$17:$K$21</xm:f>
          </x14:formula1>
          <xm:sqref>AK11:AV11</xm:sqref>
        </x14:dataValidation>
        <x14:dataValidation type="list" allowBlank="1">
          <x14:formula1>
            <xm:f>Adatok!$K$24:$K$28</xm:f>
          </x14:formula1>
          <xm:sqref>AK13:AV13</xm:sqref>
        </x14:dataValidation>
        <x14:dataValidation type="list" allowBlank="1">
          <x14:formula1>
            <xm:f>Adatok!$N$23:$N$35</xm:f>
          </x14:formula1>
          <xm:sqref>AQ14:AV14</xm:sqref>
        </x14:dataValidation>
        <x14:dataValidation type="list" allowBlank="1">
          <x14:formula1>
            <xm:f>Adatok!$B$21:$B$22</xm:f>
          </x14:formula1>
          <xm:sqref>Z13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workbookViewId="0">
      <selection activeCell="S30" sqref="S30"/>
    </sheetView>
  </sheetViews>
  <sheetFormatPr defaultRowHeight="15" x14ac:dyDescent="0.25"/>
  <cols>
    <col min="1" max="1" width="28" bestFit="1" customWidth="1"/>
    <col min="2" max="2" width="15.140625" customWidth="1"/>
    <col min="3" max="3" width="15.42578125" bestFit="1" customWidth="1"/>
    <col min="4" max="4" width="17.5703125" customWidth="1"/>
    <col min="5" max="5" width="18.42578125" bestFit="1" customWidth="1"/>
    <col min="6" max="7" width="21.42578125" bestFit="1" customWidth="1"/>
    <col min="10" max="10" width="9.140625" customWidth="1"/>
    <col min="11" max="11" width="27.140625" bestFit="1" customWidth="1"/>
    <col min="12" max="12" width="9.42578125" bestFit="1" customWidth="1"/>
    <col min="13" max="13" width="10.7109375" bestFit="1" customWidth="1"/>
    <col min="14" max="14" width="16.42578125" customWidth="1"/>
    <col min="18" max="18" width="10.140625" bestFit="1" customWidth="1"/>
  </cols>
  <sheetData>
    <row r="1" spans="1:25" x14ac:dyDescent="0.25">
      <c r="A1" s="4" t="s">
        <v>9</v>
      </c>
      <c r="B1" s="4"/>
      <c r="C1" s="4"/>
      <c r="D1" s="4"/>
      <c r="E1" s="4"/>
      <c r="F1" s="4"/>
      <c r="G1" s="4"/>
      <c r="J1" s="7"/>
      <c r="K1" t="s">
        <v>40</v>
      </c>
      <c r="L1" t="s">
        <v>41</v>
      </c>
      <c r="M1" t="s">
        <v>42</v>
      </c>
      <c r="N1" t="s">
        <v>43</v>
      </c>
      <c r="R1" t="s">
        <v>131</v>
      </c>
      <c r="S1" s="4" t="s">
        <v>136</v>
      </c>
      <c r="T1" s="5"/>
      <c r="U1" s="5"/>
      <c r="V1" s="5"/>
      <c r="W1" s="5"/>
      <c r="X1" s="5"/>
      <c r="Y1" s="5"/>
    </row>
    <row r="2" spans="1:25" x14ac:dyDescent="0.25">
      <c r="A2" s="5" t="s">
        <v>21</v>
      </c>
      <c r="B2" s="5" t="s">
        <v>10</v>
      </c>
      <c r="C2" s="5" t="s">
        <v>11</v>
      </c>
      <c r="D2" s="5" t="s">
        <v>44</v>
      </c>
      <c r="E2" s="5" t="s">
        <v>16</v>
      </c>
      <c r="F2" s="5" t="s">
        <v>19</v>
      </c>
      <c r="G2" s="5" t="s">
        <v>20</v>
      </c>
      <c r="K2" s="5" t="s">
        <v>10</v>
      </c>
      <c r="L2" s="5" t="s">
        <v>10</v>
      </c>
      <c r="M2" s="5" t="s">
        <v>10</v>
      </c>
      <c r="N2" s="5" t="s">
        <v>10</v>
      </c>
      <c r="R2" s="5" t="s">
        <v>10</v>
      </c>
      <c r="S2" s="5">
        <v>0</v>
      </c>
    </row>
    <row r="3" spans="1:25" x14ac:dyDescent="0.25">
      <c r="A3" s="5" t="s">
        <v>22</v>
      </c>
      <c r="B3" s="5" t="s">
        <v>10</v>
      </c>
      <c r="C3" s="5" t="s">
        <v>11</v>
      </c>
      <c r="D3" s="5" t="s">
        <v>13</v>
      </c>
      <c r="E3" s="5" t="s">
        <v>17</v>
      </c>
      <c r="F3" s="5" t="s">
        <v>20</v>
      </c>
      <c r="G3" s="5"/>
      <c r="K3" s="5" t="s">
        <v>11</v>
      </c>
      <c r="L3" s="5" t="s">
        <v>11</v>
      </c>
      <c r="M3" s="5" t="s">
        <v>12</v>
      </c>
      <c r="N3" s="5" t="s">
        <v>11</v>
      </c>
      <c r="R3" s="5" t="s">
        <v>11</v>
      </c>
      <c r="S3" s="5">
        <v>0</v>
      </c>
    </row>
    <row r="4" spans="1:25" x14ac:dyDescent="0.25">
      <c r="A4" s="5" t="s">
        <v>23</v>
      </c>
      <c r="B4" s="5" t="s">
        <v>10</v>
      </c>
      <c r="C4" s="5" t="s">
        <v>12</v>
      </c>
      <c r="D4" s="5" t="s">
        <v>14</v>
      </c>
      <c r="E4" s="5" t="s">
        <v>18</v>
      </c>
      <c r="F4" s="5" t="s">
        <v>20</v>
      </c>
      <c r="G4" s="5"/>
      <c r="K4" s="5" t="s">
        <v>44</v>
      </c>
      <c r="L4" s="5" t="s">
        <v>13</v>
      </c>
      <c r="M4" s="5" t="s">
        <v>14</v>
      </c>
      <c r="N4" s="5" t="s">
        <v>15</v>
      </c>
      <c r="R4" s="5" t="s">
        <v>44</v>
      </c>
      <c r="S4" s="5">
        <f>IF(Számolás!AG9="Émelygés",10,0)</f>
        <v>0</v>
      </c>
    </row>
    <row r="5" spans="1:25" x14ac:dyDescent="0.25">
      <c r="A5" s="5" t="s">
        <v>24</v>
      </c>
      <c r="B5" s="5" t="s">
        <v>10</v>
      </c>
      <c r="C5" s="5" t="s">
        <v>11</v>
      </c>
      <c r="D5" s="5" t="s">
        <v>15</v>
      </c>
      <c r="E5" s="5" t="s">
        <v>16</v>
      </c>
      <c r="F5" s="5" t="s">
        <v>19</v>
      </c>
      <c r="G5" s="5" t="s">
        <v>20</v>
      </c>
      <c r="K5" s="5" t="s">
        <v>16</v>
      </c>
      <c r="L5" s="5" t="s">
        <v>17</v>
      </c>
      <c r="M5" s="5" t="s">
        <v>18</v>
      </c>
      <c r="N5" s="5" t="s">
        <v>16</v>
      </c>
      <c r="R5" s="5" t="s">
        <v>16</v>
      </c>
      <c r="S5" s="5">
        <f>IF(Számolás!AG9="Rosszullét",10,0)+IF(Számolás!AG9="Fp vesztés",20,0)+IF(Számolás!AG9="Semmi",-20,0)</f>
        <v>0</v>
      </c>
    </row>
    <row r="6" spans="1:25" x14ac:dyDescent="0.25">
      <c r="K6" s="5" t="s">
        <v>19</v>
      </c>
      <c r="L6" s="5" t="s">
        <v>20</v>
      </c>
      <c r="M6" s="5" t="s">
        <v>20</v>
      </c>
      <c r="N6" s="5" t="s">
        <v>19</v>
      </c>
      <c r="R6" s="5" t="s">
        <v>19</v>
      </c>
      <c r="S6" s="5">
        <f>IF(Számolás!AG9="Fp vesztés",10,0)+IF(Számolás!AG9="Émelygés",-10,0)+IF(Számolás!AG9="Semmi",-20,0)</f>
        <v>0</v>
      </c>
    </row>
    <row r="7" spans="1:25" x14ac:dyDescent="0.25">
      <c r="K7" s="5" t="s">
        <v>20</v>
      </c>
      <c r="L7" s="5"/>
      <c r="M7" s="5"/>
      <c r="N7" s="5" t="s">
        <v>20</v>
      </c>
      <c r="R7" s="5" t="s">
        <v>20</v>
      </c>
      <c r="S7" s="5">
        <f>IF(Számolás!AG9="Ájulás",10,0)+IF(Számolás!AG9="Rosszullét",-10,0)+IF(Számolás!AG9="Émelygés",-10,0)+IF(Számolás!AG9="Semmi",-20,0)</f>
        <v>0</v>
      </c>
    </row>
    <row r="8" spans="1:25" x14ac:dyDescent="0.25">
      <c r="D8" t="s">
        <v>101</v>
      </c>
    </row>
    <row r="9" spans="1:25" x14ac:dyDescent="0.25">
      <c r="D9" s="2" t="s">
        <v>95</v>
      </c>
      <c r="E9" s="2" t="s">
        <v>27</v>
      </c>
      <c r="F9" s="2" t="s">
        <v>26</v>
      </c>
      <c r="G9" s="2" t="s">
        <v>100</v>
      </c>
      <c r="K9" s="2" t="s">
        <v>45</v>
      </c>
      <c r="L9" s="3" t="s">
        <v>48</v>
      </c>
      <c r="N9" s="2" t="s">
        <v>67</v>
      </c>
      <c r="O9" s="3" t="s">
        <v>48</v>
      </c>
      <c r="R9" t="s">
        <v>135</v>
      </c>
      <c r="S9" s="5"/>
    </row>
    <row r="10" spans="1:25" x14ac:dyDescent="0.25">
      <c r="A10" s="6" t="s">
        <v>28</v>
      </c>
      <c r="B10" s="4" t="s">
        <v>157</v>
      </c>
      <c r="C10" s="17"/>
      <c r="D10">
        <v>1</v>
      </c>
      <c r="E10" t="s">
        <v>96</v>
      </c>
      <c r="F10" t="s">
        <v>96</v>
      </c>
      <c r="G10" t="s">
        <v>96</v>
      </c>
      <c r="K10" t="s">
        <v>46</v>
      </c>
      <c r="L10">
        <v>10</v>
      </c>
      <c r="N10" s="5" t="s">
        <v>16</v>
      </c>
      <c r="P10">
        <f>Számolás!AH13*2</f>
        <v>0</v>
      </c>
      <c r="R10" s="5" t="s">
        <v>10</v>
      </c>
      <c r="S10" s="5">
        <v>0</v>
      </c>
    </row>
    <row r="11" spans="1:25" x14ac:dyDescent="0.25">
      <c r="A11" s="8">
        <v>0</v>
      </c>
      <c r="B11" s="5">
        <v>1</v>
      </c>
      <c r="C11" s="9"/>
      <c r="D11">
        <v>2</v>
      </c>
      <c r="E11" t="s">
        <v>96</v>
      </c>
      <c r="F11" t="s">
        <v>97</v>
      </c>
      <c r="G11" t="s">
        <v>97</v>
      </c>
      <c r="K11" t="s">
        <v>47</v>
      </c>
      <c r="L11">
        <v>10</v>
      </c>
      <c r="N11" s="5" t="s">
        <v>18</v>
      </c>
      <c r="O11">
        <v>70</v>
      </c>
      <c r="R11" s="5" t="s">
        <v>11</v>
      </c>
      <c r="S11" s="5">
        <v>0</v>
      </c>
    </row>
    <row r="12" spans="1:25" x14ac:dyDescent="0.25">
      <c r="A12" s="8">
        <v>100</v>
      </c>
      <c r="B12" s="5">
        <v>2</v>
      </c>
      <c r="C12" s="9"/>
      <c r="D12">
        <v>3</v>
      </c>
      <c r="E12" t="s">
        <v>97</v>
      </c>
      <c r="F12" t="s">
        <v>97</v>
      </c>
      <c r="G12" t="s">
        <v>94</v>
      </c>
      <c r="K12" t="s">
        <v>49</v>
      </c>
      <c r="L12">
        <v>30</v>
      </c>
      <c r="N12" s="5" t="s">
        <v>19</v>
      </c>
      <c r="O12">
        <v>80</v>
      </c>
      <c r="R12" s="5" t="s">
        <v>13</v>
      </c>
      <c r="S12" s="5">
        <f>IF(Számolás!AG10="Émelygés",10,0)</f>
        <v>0</v>
      </c>
    </row>
    <row r="13" spans="1:25" x14ac:dyDescent="0.25">
      <c r="A13" s="8">
        <v>140</v>
      </c>
      <c r="B13" s="5">
        <v>3</v>
      </c>
      <c r="C13" s="9"/>
      <c r="D13">
        <v>4</v>
      </c>
      <c r="E13" t="s">
        <v>97</v>
      </c>
      <c r="F13" t="s">
        <v>94</v>
      </c>
      <c r="G13" t="s">
        <v>98</v>
      </c>
      <c r="K13" t="s">
        <v>50</v>
      </c>
      <c r="L13">
        <v>30</v>
      </c>
      <c r="N13" s="5" t="s">
        <v>17</v>
      </c>
      <c r="O13">
        <v>80</v>
      </c>
      <c r="R13" s="5" t="s">
        <v>17</v>
      </c>
      <c r="S13" s="5">
        <f>IF(Számolás!AG10="Bódulat",10,0)+IF(Számolás!AG10="Semmi",-20,0)</f>
        <v>0</v>
      </c>
    </row>
    <row r="14" spans="1:25" x14ac:dyDescent="0.25">
      <c r="A14" s="8">
        <v>180</v>
      </c>
      <c r="B14" s="5">
        <v>4</v>
      </c>
      <c r="C14" s="9"/>
      <c r="D14">
        <v>5</v>
      </c>
      <c r="E14" t="s">
        <v>94</v>
      </c>
      <c r="F14" t="s">
        <v>94</v>
      </c>
      <c r="G14" t="s">
        <v>99</v>
      </c>
      <c r="K14" t="s">
        <v>51</v>
      </c>
      <c r="L14">
        <f>Számolás!AV9*30</f>
        <v>0</v>
      </c>
      <c r="N14" s="5" t="s">
        <v>20</v>
      </c>
      <c r="O14">
        <v>100</v>
      </c>
      <c r="R14" s="5" t="s">
        <v>20</v>
      </c>
      <c r="S14" s="5">
        <f>IF(Számolás!AG10="Alvás",10,0)+IF(Számolás!AG10="Émelygés",-10,0)+IF(Számolás!AG10="Semmi",-20,0)</f>
        <v>0</v>
      </c>
    </row>
    <row r="15" spans="1:25" x14ac:dyDescent="0.25">
      <c r="A15" s="8">
        <v>220</v>
      </c>
      <c r="B15" s="5">
        <v>5</v>
      </c>
      <c r="C15" s="9"/>
      <c r="D15">
        <v>6</v>
      </c>
      <c r="E15" t="s">
        <v>94</v>
      </c>
      <c r="F15" t="s">
        <v>98</v>
      </c>
      <c r="G15" t="s">
        <v>99</v>
      </c>
      <c r="N15" s="5" t="s">
        <v>15</v>
      </c>
      <c r="O15">
        <v>40</v>
      </c>
    </row>
    <row r="16" spans="1:25" x14ac:dyDescent="0.25">
      <c r="A16" s="8">
        <v>260</v>
      </c>
      <c r="B16" s="5">
        <v>6</v>
      </c>
      <c r="C16" s="9"/>
      <c r="D16">
        <v>7</v>
      </c>
      <c r="E16" t="s">
        <v>98</v>
      </c>
      <c r="F16" t="s">
        <v>99</v>
      </c>
      <c r="G16" t="s">
        <v>99</v>
      </c>
      <c r="K16" s="2" t="s">
        <v>54</v>
      </c>
      <c r="L16" s="3" t="s">
        <v>48</v>
      </c>
      <c r="N16" s="5" t="s">
        <v>14</v>
      </c>
      <c r="O16">
        <v>20</v>
      </c>
      <c r="R16" t="s">
        <v>137</v>
      </c>
      <c r="S16" s="5"/>
    </row>
    <row r="17" spans="1:19" x14ac:dyDescent="0.25">
      <c r="A17" s="8">
        <v>300</v>
      </c>
      <c r="B17" s="5">
        <v>7</v>
      </c>
      <c r="C17" s="9"/>
      <c r="D17">
        <v>8</v>
      </c>
      <c r="E17" t="s">
        <v>98</v>
      </c>
      <c r="F17" t="s">
        <v>99</v>
      </c>
      <c r="G17" t="s">
        <v>99</v>
      </c>
      <c r="K17" t="s">
        <v>55</v>
      </c>
      <c r="L17">
        <v>40</v>
      </c>
      <c r="N17" s="5" t="s">
        <v>12</v>
      </c>
      <c r="O17">
        <v>20</v>
      </c>
      <c r="R17" s="5" t="s">
        <v>10</v>
      </c>
      <c r="S17" s="5">
        <v>0</v>
      </c>
    </row>
    <row r="18" spans="1:19" x14ac:dyDescent="0.25">
      <c r="A18" s="8">
        <v>340</v>
      </c>
      <c r="B18" s="5">
        <v>8</v>
      </c>
      <c r="C18" s="9"/>
      <c r="K18" t="s">
        <v>56</v>
      </c>
      <c r="L18">
        <v>30</v>
      </c>
      <c r="N18" s="5" t="s">
        <v>44</v>
      </c>
      <c r="O18">
        <v>30</v>
      </c>
      <c r="R18" s="5" t="s">
        <v>12</v>
      </c>
      <c r="S18" s="5">
        <v>0</v>
      </c>
    </row>
    <row r="19" spans="1:19" x14ac:dyDescent="0.25">
      <c r="D19" t="s">
        <v>102</v>
      </c>
      <c r="K19" t="s">
        <v>57</v>
      </c>
      <c r="L19">
        <v>10</v>
      </c>
      <c r="N19" s="5" t="s">
        <v>11</v>
      </c>
      <c r="O19">
        <v>10</v>
      </c>
      <c r="R19" s="5" t="s">
        <v>14</v>
      </c>
      <c r="S19" s="5">
        <f>IF(Számolás!AG11="Gyengeség",10,0)</f>
        <v>0</v>
      </c>
    </row>
    <row r="20" spans="1:19" x14ac:dyDescent="0.25">
      <c r="B20" s="171" t="s">
        <v>158</v>
      </c>
      <c r="D20" s="2" t="s">
        <v>95</v>
      </c>
      <c r="E20" s="2" t="s">
        <v>27</v>
      </c>
      <c r="F20" s="2" t="s">
        <v>26</v>
      </c>
      <c r="G20" s="2" t="s">
        <v>100</v>
      </c>
      <c r="K20" t="s">
        <v>58</v>
      </c>
      <c r="L20">
        <v>20</v>
      </c>
      <c r="N20" s="5" t="s">
        <v>13</v>
      </c>
      <c r="O20">
        <v>40</v>
      </c>
      <c r="R20" s="5" t="s">
        <v>18</v>
      </c>
      <c r="S20" s="5">
        <f>IF(Számolás!AG11="Görcs",10,0)+IF(Számolás!AG11="Semmi",-20,0)</f>
        <v>0</v>
      </c>
    </row>
    <row r="21" spans="1:19" x14ac:dyDescent="0.25">
      <c r="B21" s="172" t="s">
        <v>159</v>
      </c>
      <c r="D21">
        <v>1</v>
      </c>
      <c r="E21">
        <v>1</v>
      </c>
      <c r="F21">
        <v>1</v>
      </c>
      <c r="G21">
        <v>1</v>
      </c>
      <c r="K21" t="s">
        <v>59</v>
      </c>
      <c r="L21">
        <v>50</v>
      </c>
      <c r="R21" s="5" t="s">
        <v>20</v>
      </c>
      <c r="S21" s="5">
        <f>IF(Számolás!AG11="Bénultság",10,0)+IF(Számolás!AG11="Gyengeség",-10,0)+IF(Számolás!AG11="Semmi",-20,0)</f>
        <v>0</v>
      </c>
    </row>
    <row r="22" spans="1:19" x14ac:dyDescent="0.25">
      <c r="B22" s="173" t="s">
        <v>160</v>
      </c>
      <c r="D22">
        <v>2</v>
      </c>
      <c r="E22">
        <v>1</v>
      </c>
      <c r="F22">
        <v>2</v>
      </c>
      <c r="G22">
        <v>2</v>
      </c>
      <c r="N22" s="2" t="s">
        <v>68</v>
      </c>
      <c r="O22" s="3" t="s">
        <v>48</v>
      </c>
    </row>
    <row r="23" spans="1:19" ht="15.75" thickBot="1" x14ac:dyDescent="0.3">
      <c r="D23">
        <v>3</v>
      </c>
      <c r="E23">
        <v>2</v>
      </c>
      <c r="F23">
        <v>2</v>
      </c>
      <c r="G23">
        <v>3</v>
      </c>
      <c r="K23" s="2" t="s">
        <v>61</v>
      </c>
      <c r="L23" s="3" t="s">
        <v>48</v>
      </c>
      <c r="N23" t="s">
        <v>70</v>
      </c>
      <c r="O23">
        <v>0</v>
      </c>
      <c r="R23" t="s">
        <v>138</v>
      </c>
      <c r="S23" s="4" t="s">
        <v>136</v>
      </c>
    </row>
    <row r="24" spans="1:19" x14ac:dyDescent="0.25">
      <c r="B24" s="186" t="s">
        <v>163</v>
      </c>
      <c r="D24">
        <v>4</v>
      </c>
      <c r="E24">
        <v>2</v>
      </c>
      <c r="F24">
        <v>3</v>
      </c>
      <c r="G24">
        <v>4</v>
      </c>
      <c r="K24" t="s">
        <v>62</v>
      </c>
      <c r="L24">
        <v>10</v>
      </c>
      <c r="N24" t="s">
        <v>71</v>
      </c>
      <c r="O24">
        <v>10</v>
      </c>
      <c r="R24" s="5" t="s">
        <v>10</v>
      </c>
      <c r="S24" s="5">
        <v>0</v>
      </c>
    </row>
    <row r="25" spans="1:19" x14ac:dyDescent="0.25">
      <c r="B25" s="184">
        <f>IFERROR(IF(LOOKUP("Fp vesztés",Számolás!AG9:AG12)="Fp vesztés",1,0),0)</f>
        <v>0</v>
      </c>
      <c r="C25" t="s">
        <v>165</v>
      </c>
      <c r="D25">
        <v>5</v>
      </c>
      <c r="E25">
        <v>3</v>
      </c>
      <c r="F25">
        <v>3</v>
      </c>
      <c r="G25">
        <v>5</v>
      </c>
      <c r="K25" t="s">
        <v>63</v>
      </c>
      <c r="L25">
        <v>30</v>
      </c>
      <c r="N25" t="s">
        <v>72</v>
      </c>
      <c r="O25">
        <v>20</v>
      </c>
      <c r="R25" s="5" t="s">
        <v>11</v>
      </c>
      <c r="S25" s="5">
        <v>0</v>
      </c>
    </row>
    <row r="26" spans="1:19" x14ac:dyDescent="0.25">
      <c r="B26" s="184">
        <f>IFERROR(IF(LOOKUP("Fp vesztés",Számolás!AC9:AC12)="Fp vesztés",2,0),0)</f>
        <v>0</v>
      </c>
      <c r="C26" t="s">
        <v>164</v>
      </c>
      <c r="D26">
        <v>6</v>
      </c>
      <c r="E26">
        <v>3</v>
      </c>
      <c r="F26">
        <v>4</v>
      </c>
      <c r="G26">
        <v>5</v>
      </c>
      <c r="K26" t="s">
        <v>64</v>
      </c>
      <c r="L26">
        <v>50</v>
      </c>
      <c r="N26" t="s">
        <v>73</v>
      </c>
      <c r="O26">
        <v>30</v>
      </c>
      <c r="R26" s="5" t="s">
        <v>15</v>
      </c>
      <c r="S26" s="5">
        <f>IF(Számolás!AG12="Émelygés",10,0)</f>
        <v>0</v>
      </c>
    </row>
    <row r="27" spans="1:19" ht="15.75" thickBot="1" x14ac:dyDescent="0.3">
      <c r="B27" s="185">
        <f>B25+B26</f>
        <v>0</v>
      </c>
      <c r="D27">
        <v>7</v>
      </c>
      <c r="E27">
        <v>4</v>
      </c>
      <c r="F27">
        <v>5</v>
      </c>
      <c r="G27">
        <v>5</v>
      </c>
      <c r="K27" t="s">
        <v>65</v>
      </c>
      <c r="L27">
        <v>70</v>
      </c>
      <c r="N27" t="s">
        <v>74</v>
      </c>
      <c r="O27">
        <v>40</v>
      </c>
      <c r="R27" s="5" t="s">
        <v>16</v>
      </c>
      <c r="S27" s="5">
        <f>IF(Számolás!AG12="Kábultság",10,0)+IF(Számolás!AG12="Fp vesztés",20,0)+IF(Számolás!AG12="Semmi",-20,0)</f>
        <v>0</v>
      </c>
    </row>
    <row r="28" spans="1:19" x14ac:dyDescent="0.25">
      <c r="D28">
        <v>8</v>
      </c>
      <c r="E28">
        <v>4</v>
      </c>
      <c r="F28">
        <v>5</v>
      </c>
      <c r="G28">
        <v>5</v>
      </c>
      <c r="K28" t="s">
        <v>66</v>
      </c>
      <c r="L28">
        <v>100</v>
      </c>
      <c r="N28" t="s">
        <v>75</v>
      </c>
      <c r="O28">
        <v>50</v>
      </c>
      <c r="R28" s="5" t="s">
        <v>19</v>
      </c>
      <c r="S28" s="5">
        <f>IF(Számolás!AG12="Fp vesztés",10,0)+IF(Számolás!AG12="Émelygés",-10,0)+IF(Számolás!AG12="Semmi",-20,0)</f>
        <v>0</v>
      </c>
    </row>
    <row r="29" spans="1:19" ht="15.75" thickBot="1" x14ac:dyDescent="0.3">
      <c r="N29" t="s">
        <v>76</v>
      </c>
      <c r="O29">
        <v>60</v>
      </c>
      <c r="R29" s="5" t="s">
        <v>20</v>
      </c>
      <c r="S29" s="5">
        <f>IF(Számolás!AG12="Ájulás",10,0)+IF(Számolás!AG12="Kábultság",-10,0)+IF(Számolás!AG12="Émelygés",-10,0)+IF(Számolás!AG12="Semmi",-20,0)</f>
        <v>0</v>
      </c>
    </row>
    <row r="30" spans="1:19" ht="15.75" customHeight="1" x14ac:dyDescent="0.25">
      <c r="A30" s="20" t="s">
        <v>116</v>
      </c>
      <c r="B30" s="21" t="s">
        <v>117</v>
      </c>
      <c r="C30" s="21" t="s">
        <v>118</v>
      </c>
      <c r="D30" s="21" t="s">
        <v>119</v>
      </c>
      <c r="E30" s="21" t="s">
        <v>120</v>
      </c>
      <c r="F30" s="21" t="s">
        <v>121</v>
      </c>
      <c r="G30" s="21" t="s">
        <v>122</v>
      </c>
      <c r="H30" s="21" t="s">
        <v>123</v>
      </c>
      <c r="I30" s="21" t="s">
        <v>124</v>
      </c>
      <c r="J30" s="21" t="s">
        <v>125</v>
      </c>
      <c r="K30" s="21" t="s">
        <v>126</v>
      </c>
      <c r="L30" s="21" t="s">
        <v>127</v>
      </c>
      <c r="M30" s="22" t="s">
        <v>128</v>
      </c>
      <c r="N30" t="s">
        <v>77</v>
      </c>
      <c r="O30">
        <v>70</v>
      </c>
    </row>
    <row r="31" spans="1:19" ht="15.75" customHeight="1" x14ac:dyDescent="0.25">
      <c r="A31" s="23" t="s">
        <v>10</v>
      </c>
      <c r="B31" s="9" t="s">
        <v>25</v>
      </c>
      <c r="C31" s="9" t="s">
        <v>25</v>
      </c>
      <c r="D31" s="9" t="s">
        <v>25</v>
      </c>
      <c r="E31" s="9" t="s">
        <v>25</v>
      </c>
      <c r="F31" s="9" t="s">
        <v>25</v>
      </c>
      <c r="G31" s="9" t="s">
        <v>25</v>
      </c>
      <c r="H31" s="9" t="s">
        <v>25</v>
      </c>
      <c r="I31" s="9" t="s">
        <v>25</v>
      </c>
      <c r="J31" s="9" t="s">
        <v>25</v>
      </c>
      <c r="K31" s="9" t="s">
        <v>25</v>
      </c>
      <c r="L31" s="9" t="s">
        <v>25</v>
      </c>
      <c r="M31" s="24" t="s">
        <v>25</v>
      </c>
      <c r="N31" t="s">
        <v>78</v>
      </c>
      <c r="O31">
        <v>80</v>
      </c>
    </row>
    <row r="32" spans="1:19" ht="15.75" customHeight="1" x14ac:dyDescent="0.25">
      <c r="A32" s="25" t="s">
        <v>15</v>
      </c>
      <c r="B32" s="9">
        <v>-2</v>
      </c>
      <c r="C32" s="9">
        <v>-2</v>
      </c>
      <c r="D32" s="9">
        <v>-2</v>
      </c>
      <c r="E32" s="9">
        <v>-2</v>
      </c>
      <c r="F32" s="9">
        <v>-5</v>
      </c>
      <c r="G32" s="9">
        <v>-5</v>
      </c>
      <c r="H32" s="9" t="s">
        <v>25</v>
      </c>
      <c r="I32" s="9">
        <v>-15</v>
      </c>
      <c r="J32" s="9">
        <v>-20</v>
      </c>
      <c r="K32" s="9">
        <v>-25</v>
      </c>
      <c r="L32" s="9" t="s">
        <v>25</v>
      </c>
      <c r="M32" s="24" t="s">
        <v>129</v>
      </c>
      <c r="N32" t="s">
        <v>79</v>
      </c>
      <c r="O32">
        <v>100</v>
      </c>
    </row>
    <row r="33" spans="1:15" ht="15.75" customHeight="1" x14ac:dyDescent="0.25">
      <c r="A33" s="25" t="s">
        <v>14</v>
      </c>
      <c r="B33" s="9">
        <v>-8</v>
      </c>
      <c r="C33" s="9" t="s">
        <v>25</v>
      </c>
      <c r="D33" s="9">
        <v>-8</v>
      </c>
      <c r="E33" s="9">
        <v>-8</v>
      </c>
      <c r="F33" s="9" t="s">
        <v>25</v>
      </c>
      <c r="G33" s="9" t="s">
        <v>25</v>
      </c>
      <c r="H33" s="9" t="s">
        <v>25</v>
      </c>
      <c r="I33" s="9">
        <v>-30</v>
      </c>
      <c r="J33" s="9">
        <v>-40</v>
      </c>
      <c r="K33" s="9">
        <v>-35</v>
      </c>
      <c r="L33" s="9">
        <v>-15</v>
      </c>
      <c r="M33" s="24" t="s">
        <v>129</v>
      </c>
      <c r="N33" t="s">
        <v>80</v>
      </c>
      <c r="O33">
        <v>130</v>
      </c>
    </row>
    <row r="34" spans="1:15" ht="15.75" customHeight="1" x14ac:dyDescent="0.25">
      <c r="A34" s="25" t="s">
        <v>12</v>
      </c>
      <c r="B34" s="26">
        <v>0.5</v>
      </c>
      <c r="C34" s="27">
        <v>-2</v>
      </c>
      <c r="D34" s="26">
        <v>0.75</v>
      </c>
      <c r="E34" s="26">
        <v>0.75</v>
      </c>
      <c r="F34" s="27" t="s">
        <v>25</v>
      </c>
      <c r="G34" s="27" t="s">
        <v>25</v>
      </c>
      <c r="H34" s="27" t="s">
        <v>25</v>
      </c>
      <c r="I34" s="27">
        <v>-15</v>
      </c>
      <c r="J34" s="27">
        <v>-20</v>
      </c>
      <c r="K34" s="27">
        <v>-25</v>
      </c>
      <c r="L34" s="27" t="s">
        <v>25</v>
      </c>
      <c r="M34" s="28" t="s">
        <v>130</v>
      </c>
      <c r="N34" t="s">
        <v>81</v>
      </c>
      <c r="O34">
        <v>170</v>
      </c>
    </row>
    <row r="35" spans="1:15" ht="15.75" customHeight="1" x14ac:dyDescent="0.25">
      <c r="A35" s="25" t="s">
        <v>44</v>
      </c>
      <c r="B35" s="26">
        <v>0.5</v>
      </c>
      <c r="C35" s="27">
        <v>-4</v>
      </c>
      <c r="D35" s="26">
        <v>0.5</v>
      </c>
      <c r="E35" s="26">
        <v>0.5</v>
      </c>
      <c r="F35" s="19">
        <v>-2</v>
      </c>
      <c r="G35" s="27"/>
      <c r="H35" s="27"/>
      <c r="I35" s="40">
        <v>-20</v>
      </c>
      <c r="J35" s="19">
        <v>-40</v>
      </c>
      <c r="K35" s="19">
        <v>-40</v>
      </c>
      <c r="L35" s="19">
        <v>-20</v>
      </c>
      <c r="M35" s="28" t="s">
        <v>129</v>
      </c>
      <c r="N35" t="s">
        <v>82</v>
      </c>
      <c r="O35">
        <v>220</v>
      </c>
    </row>
    <row r="36" spans="1:15" x14ac:dyDescent="0.25">
      <c r="A36" s="25" t="s">
        <v>11</v>
      </c>
      <c r="B36" s="26">
        <v>0.75</v>
      </c>
      <c r="C36" s="27">
        <v>-2</v>
      </c>
      <c r="D36" s="26">
        <v>0.75</v>
      </c>
      <c r="E36" s="26">
        <v>0.25</v>
      </c>
      <c r="F36" s="27" t="s">
        <v>25</v>
      </c>
      <c r="G36" s="27" t="s">
        <v>25</v>
      </c>
      <c r="H36" s="27" t="s">
        <v>25</v>
      </c>
      <c r="I36" s="27">
        <v>-10</v>
      </c>
      <c r="J36" s="27">
        <v>-20</v>
      </c>
      <c r="K36" s="27">
        <v>-15</v>
      </c>
      <c r="L36" s="27">
        <v>-10</v>
      </c>
      <c r="M36" s="28" t="s">
        <v>130</v>
      </c>
    </row>
    <row r="37" spans="1:15" ht="15.75" thickBot="1" x14ac:dyDescent="0.3">
      <c r="A37" s="29" t="s">
        <v>13</v>
      </c>
      <c r="B37" s="30" t="s">
        <v>25</v>
      </c>
      <c r="C37" s="30" t="s">
        <v>25</v>
      </c>
      <c r="D37" s="31">
        <v>0.5</v>
      </c>
      <c r="E37" s="31">
        <v>0.75</v>
      </c>
      <c r="F37" s="30">
        <v>-10</v>
      </c>
      <c r="G37" s="32">
        <v>-5</v>
      </c>
      <c r="H37" s="32">
        <v>-5</v>
      </c>
      <c r="I37" s="32">
        <v>-30</v>
      </c>
      <c r="J37" s="32">
        <v>-50</v>
      </c>
      <c r="K37" s="32">
        <v>-50</v>
      </c>
      <c r="L37" s="32">
        <v>-30</v>
      </c>
      <c r="M37" s="33" t="s">
        <v>129</v>
      </c>
    </row>
    <row r="38" spans="1:15" x14ac:dyDescent="0.2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5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1" spans="1:15" x14ac:dyDescent="0.25">
      <c r="A41" s="2" t="s">
        <v>139</v>
      </c>
    </row>
    <row r="43" spans="1:15" x14ac:dyDescent="0.25">
      <c r="A43" s="41" t="s">
        <v>140</v>
      </c>
      <c r="B43" s="42"/>
      <c r="D43" s="41" t="s">
        <v>142</v>
      </c>
      <c r="E43" s="42"/>
      <c r="G43" s="41" t="s">
        <v>143</v>
      </c>
      <c r="H43" s="42"/>
      <c r="K43" s="41" t="s">
        <v>144</v>
      </c>
      <c r="L43" s="42"/>
    </row>
    <row r="44" spans="1:15" x14ac:dyDescent="0.25">
      <c r="A44" s="43" t="s">
        <v>68</v>
      </c>
      <c r="B44" s="44" t="s">
        <v>141</v>
      </c>
      <c r="D44" s="43" t="s">
        <v>68</v>
      </c>
      <c r="E44" s="44" t="s">
        <v>141</v>
      </c>
      <c r="G44" s="43" t="s">
        <v>68</v>
      </c>
      <c r="H44" s="44" t="s">
        <v>141</v>
      </c>
      <c r="K44" s="43" t="s">
        <v>68</v>
      </c>
      <c r="L44" s="44" t="s">
        <v>141</v>
      </c>
    </row>
    <row r="45" spans="1:15" x14ac:dyDescent="0.25">
      <c r="A45" s="45" t="s">
        <v>70</v>
      </c>
      <c r="B45" s="46">
        <v>1</v>
      </c>
      <c r="D45" s="45" t="s">
        <v>70</v>
      </c>
      <c r="E45" s="46">
        <v>1</v>
      </c>
      <c r="G45" s="45" t="s">
        <v>70</v>
      </c>
      <c r="H45" s="46">
        <v>1</v>
      </c>
      <c r="K45" s="45" t="s">
        <v>70</v>
      </c>
      <c r="L45" s="46">
        <v>1</v>
      </c>
    </row>
    <row r="46" spans="1:15" x14ac:dyDescent="0.25">
      <c r="A46" s="45" t="s">
        <v>71</v>
      </c>
      <c r="B46" s="46">
        <v>2</v>
      </c>
      <c r="D46" s="45" t="s">
        <v>71</v>
      </c>
      <c r="E46" s="46">
        <v>1.5</v>
      </c>
      <c r="G46" s="45" t="s">
        <v>71</v>
      </c>
      <c r="H46" s="46">
        <v>2</v>
      </c>
      <c r="K46" s="45" t="s">
        <v>71</v>
      </c>
      <c r="L46" s="46">
        <v>2</v>
      </c>
    </row>
    <row r="47" spans="1:15" x14ac:dyDescent="0.25">
      <c r="A47" s="45" t="s">
        <v>72</v>
      </c>
      <c r="B47" s="46">
        <v>4</v>
      </c>
      <c r="D47" s="45" t="s">
        <v>72</v>
      </c>
      <c r="E47" s="46">
        <v>3</v>
      </c>
      <c r="G47" s="45" t="s">
        <v>72</v>
      </c>
      <c r="H47" s="46">
        <v>4</v>
      </c>
      <c r="K47" s="45" t="s">
        <v>72</v>
      </c>
      <c r="L47" s="46">
        <v>4</v>
      </c>
    </row>
    <row r="48" spans="1:15" x14ac:dyDescent="0.25">
      <c r="A48" s="45" t="s">
        <v>73</v>
      </c>
      <c r="B48" s="46">
        <v>6</v>
      </c>
      <c r="D48" s="45" t="s">
        <v>73</v>
      </c>
      <c r="E48" s="46">
        <v>6</v>
      </c>
      <c r="G48" s="45" t="s">
        <v>73</v>
      </c>
      <c r="H48" s="46">
        <v>7</v>
      </c>
      <c r="K48" s="45" t="s">
        <v>73</v>
      </c>
      <c r="L48" s="46">
        <v>7</v>
      </c>
    </row>
    <row r="49" spans="1:12" x14ac:dyDescent="0.25">
      <c r="A49" s="45" t="s">
        <v>74</v>
      </c>
      <c r="B49" s="46">
        <v>8</v>
      </c>
      <c r="D49" s="45" t="s">
        <v>74</v>
      </c>
      <c r="E49" s="46">
        <v>9</v>
      </c>
      <c r="G49" s="45" t="s">
        <v>74</v>
      </c>
      <c r="H49" s="46">
        <v>10</v>
      </c>
      <c r="K49" s="45" t="s">
        <v>74</v>
      </c>
      <c r="L49" s="46">
        <v>10</v>
      </c>
    </row>
    <row r="50" spans="1:12" x14ac:dyDescent="0.25">
      <c r="A50" s="45" t="s">
        <v>75</v>
      </c>
      <c r="B50" s="46">
        <v>12</v>
      </c>
      <c r="D50" s="45" t="s">
        <v>75</v>
      </c>
      <c r="E50" s="46">
        <v>13</v>
      </c>
      <c r="G50" s="45" t="s">
        <v>75</v>
      </c>
      <c r="H50" s="46">
        <v>15</v>
      </c>
      <c r="K50" s="45" t="s">
        <v>75</v>
      </c>
      <c r="L50" s="46">
        <v>14</v>
      </c>
    </row>
    <row r="51" spans="1:12" x14ac:dyDescent="0.25">
      <c r="A51" s="45" t="s">
        <v>76</v>
      </c>
      <c r="B51" s="46">
        <v>15</v>
      </c>
      <c r="D51" s="45" t="s">
        <v>76</v>
      </c>
      <c r="E51" s="46">
        <v>18</v>
      </c>
      <c r="G51" s="45" t="s">
        <v>76</v>
      </c>
      <c r="H51" s="46">
        <v>20</v>
      </c>
      <c r="K51" s="45" t="s">
        <v>76</v>
      </c>
      <c r="L51" s="46">
        <v>19</v>
      </c>
    </row>
    <row r="52" spans="1:12" x14ac:dyDescent="0.25">
      <c r="A52" s="45" t="s">
        <v>77</v>
      </c>
      <c r="B52" s="46">
        <v>20</v>
      </c>
      <c r="D52" s="45" t="s">
        <v>77</v>
      </c>
      <c r="E52" s="46">
        <v>24</v>
      </c>
      <c r="G52" s="45" t="s">
        <v>77</v>
      </c>
      <c r="H52" s="46">
        <v>27</v>
      </c>
      <c r="K52" s="45" t="s">
        <v>77</v>
      </c>
      <c r="L52" s="46">
        <v>26</v>
      </c>
    </row>
    <row r="53" spans="1:12" x14ac:dyDescent="0.25">
      <c r="A53" s="45" t="s">
        <v>78</v>
      </c>
      <c r="B53" s="46">
        <v>25</v>
      </c>
      <c r="D53" s="45" t="s">
        <v>78</v>
      </c>
      <c r="E53" s="46">
        <v>29</v>
      </c>
      <c r="G53" s="45" t="s">
        <v>78</v>
      </c>
      <c r="H53" s="46">
        <v>32</v>
      </c>
      <c r="K53" s="45" t="s">
        <v>78</v>
      </c>
      <c r="L53" s="46">
        <v>31</v>
      </c>
    </row>
    <row r="54" spans="1:12" x14ac:dyDescent="0.25">
      <c r="A54" s="45" t="s">
        <v>79</v>
      </c>
      <c r="B54" s="46">
        <v>30</v>
      </c>
      <c r="D54" s="45" t="s">
        <v>79</v>
      </c>
      <c r="E54" s="46">
        <v>35</v>
      </c>
      <c r="G54" s="45" t="s">
        <v>79</v>
      </c>
      <c r="H54" s="46">
        <v>38</v>
      </c>
      <c r="K54" s="45" t="s">
        <v>79</v>
      </c>
      <c r="L54" s="46">
        <v>36</v>
      </c>
    </row>
    <row r="55" spans="1:12" x14ac:dyDescent="0.25">
      <c r="A55" s="45" t="s">
        <v>80</v>
      </c>
      <c r="B55" s="46">
        <v>40</v>
      </c>
      <c r="D55" s="45" t="s">
        <v>80</v>
      </c>
      <c r="E55" s="46">
        <v>45</v>
      </c>
      <c r="G55" s="45" t="s">
        <v>80</v>
      </c>
      <c r="H55" s="46">
        <v>48</v>
      </c>
      <c r="K55" s="45" t="s">
        <v>80</v>
      </c>
      <c r="L55" s="46">
        <v>46</v>
      </c>
    </row>
    <row r="56" spans="1:12" x14ac:dyDescent="0.25">
      <c r="A56" s="45" t="s">
        <v>81</v>
      </c>
      <c r="B56" s="46">
        <v>50</v>
      </c>
      <c r="D56" s="45" t="s">
        <v>81</v>
      </c>
      <c r="E56" s="46">
        <v>55</v>
      </c>
      <c r="G56" s="45" t="s">
        <v>81</v>
      </c>
      <c r="H56" s="46">
        <v>58</v>
      </c>
      <c r="K56" s="45" t="s">
        <v>81</v>
      </c>
      <c r="L56" s="46">
        <v>56</v>
      </c>
    </row>
    <row r="57" spans="1:12" x14ac:dyDescent="0.25">
      <c r="A57" s="45" t="s">
        <v>82</v>
      </c>
      <c r="B57" s="46">
        <v>60</v>
      </c>
      <c r="D57" s="45" t="s">
        <v>82</v>
      </c>
      <c r="E57" s="46">
        <v>65</v>
      </c>
      <c r="G57" s="45" t="s">
        <v>82</v>
      </c>
      <c r="H57" s="46">
        <v>68</v>
      </c>
      <c r="K57" s="45" t="s">
        <v>82</v>
      </c>
      <c r="L57" s="46">
        <v>66</v>
      </c>
    </row>
    <row r="58" spans="1:12" x14ac:dyDescent="0.25">
      <c r="A58" s="45"/>
      <c r="B58" s="46"/>
      <c r="D58" s="45"/>
      <c r="E58" s="46"/>
      <c r="G58" s="45"/>
      <c r="H58" s="46"/>
      <c r="K58" s="45"/>
      <c r="L58" s="46"/>
    </row>
    <row r="59" spans="1:12" x14ac:dyDescent="0.25">
      <c r="A59" s="43" t="s">
        <v>67</v>
      </c>
      <c r="B59" s="44" t="s">
        <v>141</v>
      </c>
      <c r="D59" s="43" t="s">
        <v>67</v>
      </c>
      <c r="E59" s="44" t="s">
        <v>141</v>
      </c>
      <c r="G59" s="43" t="s">
        <v>67</v>
      </c>
      <c r="H59" s="44" t="s">
        <v>141</v>
      </c>
      <c r="K59" s="43" t="s">
        <v>67</v>
      </c>
      <c r="L59" s="44" t="s">
        <v>141</v>
      </c>
    </row>
    <row r="60" spans="1:12" x14ac:dyDescent="0.25">
      <c r="A60" s="5" t="s">
        <v>10</v>
      </c>
      <c r="B60" s="46">
        <v>1</v>
      </c>
      <c r="D60" s="5" t="s">
        <v>10</v>
      </c>
      <c r="E60" s="46">
        <v>1</v>
      </c>
      <c r="G60" s="5" t="s">
        <v>10</v>
      </c>
      <c r="H60" s="46">
        <v>1</v>
      </c>
      <c r="K60" s="5" t="s">
        <v>10</v>
      </c>
      <c r="L60" s="46">
        <v>1</v>
      </c>
    </row>
    <row r="61" spans="1:12" x14ac:dyDescent="0.25">
      <c r="A61" s="5" t="s">
        <v>11</v>
      </c>
      <c r="B61" s="46">
        <v>1</v>
      </c>
      <c r="D61" s="5" t="s">
        <v>11</v>
      </c>
      <c r="E61" s="46">
        <v>1</v>
      </c>
      <c r="G61" s="5" t="s">
        <v>12</v>
      </c>
      <c r="H61" s="46">
        <v>1</v>
      </c>
      <c r="K61" s="5" t="s">
        <v>11</v>
      </c>
      <c r="L61" s="46">
        <v>1</v>
      </c>
    </row>
    <row r="62" spans="1:12" x14ac:dyDescent="0.25">
      <c r="A62" s="5" t="s">
        <v>44</v>
      </c>
      <c r="B62" s="46">
        <v>2</v>
      </c>
      <c r="D62" s="5" t="s">
        <v>13</v>
      </c>
      <c r="E62" s="46">
        <v>5</v>
      </c>
      <c r="G62" s="5" t="s">
        <v>14</v>
      </c>
      <c r="H62" s="46">
        <v>7</v>
      </c>
      <c r="K62" s="5" t="s">
        <v>15</v>
      </c>
      <c r="L62" s="46">
        <v>2</v>
      </c>
    </row>
    <row r="63" spans="1:12" x14ac:dyDescent="0.25">
      <c r="A63" s="5" t="s">
        <v>16</v>
      </c>
      <c r="B63" s="46">
        <v>4</v>
      </c>
      <c r="D63" s="5" t="s">
        <v>17</v>
      </c>
      <c r="E63" s="46">
        <v>7</v>
      </c>
      <c r="G63" s="5" t="s">
        <v>18</v>
      </c>
      <c r="H63" s="46">
        <v>10</v>
      </c>
      <c r="K63" s="5" t="s">
        <v>16</v>
      </c>
      <c r="L63" s="46">
        <v>4</v>
      </c>
    </row>
    <row r="64" spans="1:12" x14ac:dyDescent="0.25">
      <c r="A64" s="5" t="s">
        <v>19</v>
      </c>
      <c r="B64" s="46">
        <v>7</v>
      </c>
      <c r="D64" s="5" t="s">
        <v>20</v>
      </c>
      <c r="E64" s="46">
        <v>15</v>
      </c>
      <c r="G64" s="5" t="s">
        <v>20</v>
      </c>
      <c r="H64" s="46">
        <v>15</v>
      </c>
      <c r="K64" s="5" t="s">
        <v>19</v>
      </c>
      <c r="L64" s="46">
        <v>7</v>
      </c>
    </row>
    <row r="65" spans="1:12" x14ac:dyDescent="0.25">
      <c r="A65" s="5" t="s">
        <v>20</v>
      </c>
      <c r="B65" s="46">
        <v>15</v>
      </c>
      <c r="D65" s="5"/>
      <c r="E65" s="46"/>
      <c r="G65" s="5"/>
      <c r="H65" s="46"/>
      <c r="K65" s="5" t="s">
        <v>20</v>
      </c>
      <c r="L65" s="46">
        <v>15</v>
      </c>
    </row>
    <row r="66" spans="1:12" x14ac:dyDescent="0.25">
      <c r="A66" s="45"/>
      <c r="B66" s="46"/>
      <c r="D66" s="45"/>
      <c r="E66" s="46"/>
      <c r="G66" s="45"/>
      <c r="H66" s="46"/>
      <c r="K66" s="45"/>
      <c r="L66" s="46"/>
    </row>
    <row r="67" spans="1:12" x14ac:dyDescent="0.25">
      <c r="A67" s="45"/>
      <c r="B67" s="46"/>
      <c r="D67" s="45"/>
      <c r="E67" s="46"/>
      <c r="G67" s="45"/>
      <c r="H67" s="46"/>
      <c r="K67" s="45"/>
      <c r="L67" s="46"/>
    </row>
    <row r="68" spans="1:12" x14ac:dyDescent="0.25">
      <c r="A68" s="47" t="s">
        <v>145</v>
      </c>
      <c r="B68" s="48">
        <f>IFERROR(VLOOKUP(Számolás!AQ14,Adatok!A45:B57,2,FALSE)*VLOOKUP(Számolás!AC9,Adatok!A60:B65,2,FALSE),0)</f>
        <v>0</v>
      </c>
      <c r="D68" s="47" t="s">
        <v>145</v>
      </c>
      <c r="E68" s="48">
        <f>IFERROR(VLOOKUP(Számolás!AQ14,Adatok!D45:E57,2,FALSE)*VLOOKUP(Számolás!AC10,Adatok!D60:E64,2,FALSE),0)</f>
        <v>0</v>
      </c>
      <c r="G68" s="47" t="s">
        <v>145</v>
      </c>
      <c r="H68" s="48">
        <f>IFERROR(VLOOKUP(Számolás!AQ14,Adatok!G45:H57,2,FALSE)*VLOOKUP(Számolás!AC11,Adatok!G60:H64,2,FALSE),0)</f>
        <v>0</v>
      </c>
      <c r="K68" s="47" t="s">
        <v>145</v>
      </c>
      <c r="L68" s="48">
        <f>IFERROR(VLOOKUP(Számolás!AQ14,Adatok!K45:L57,2,FALSE)*VLOOKUP(Számolás!AC12,Adatok!K60:L65,2,FALSE),0)</f>
        <v>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Számolás</vt:lpstr>
      <vt:lpstr>Adatok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János</dc:creator>
  <cp:lastModifiedBy>Simon János</cp:lastModifiedBy>
  <cp:lastPrinted>2016-07-18T11:05:12Z</cp:lastPrinted>
  <dcterms:created xsi:type="dcterms:W3CDTF">2016-06-20T13:00:06Z</dcterms:created>
  <dcterms:modified xsi:type="dcterms:W3CDTF">2016-09-23T09:34:21Z</dcterms:modified>
</cp:coreProperties>
</file>